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uAsbAVgVksy2bazBzdTikEdxlN601z3XJHZ60sqix74oE5GHoZW6H8GesTe2zIuw4n3RCf17m3hJv6RIYoWtxg==" workbookSaltValue="kkxwLwy5dckXF3bx/cRD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AK19" i="8"/>
  <c r="EP19" i="8"/>
  <c r="AJ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AM11" i="11"/>
  <c r="M18" i="2"/>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L10" i="2"/>
  <c r="AA10" i="16"/>
  <c r="S15" i="17"/>
  <c r="L12" i="2"/>
  <c r="L16" i="2"/>
  <c r="U9" i="17"/>
  <c r="U19" i="17" s="1"/>
  <c r="V10" i="16"/>
  <c r="L9" i="2"/>
  <c r="V9" i="16"/>
  <c r="BF15" i="13"/>
  <c r="BG15" i="13"/>
  <c r="BA18" i="13"/>
  <c r="BE15" i="13"/>
  <c r="BF16" i="13"/>
  <c r="W20" i="20"/>
  <c r="AA20" i="20"/>
  <c r="M20" i="20"/>
  <c r="AV20" i="20"/>
  <c r="AP20" i="20"/>
  <c r="G18" i="12" l="1"/>
  <c r="BD17" i="8"/>
  <c r="F15" i="17"/>
  <c r="AQ15" i="17" s="1"/>
  <c r="BG15" i="8"/>
  <c r="BG10" i="8"/>
  <c r="BE9" i="8"/>
  <c r="I9" i="7" s="1"/>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<sst xmlns="http://schemas.openxmlformats.org/spreadsheetml/2006/main" count="2102" uniqueCount="916">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</sst>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Ksg7YeL9l9RjjpyPtj2AnNY8mnoTbitAu5b0rKvOjtlqwOkRmFZChfYbmbNcOh/iGcKILtA/pArfT7M8Hx1jw==" saltValue="3TEiZq3B92Wupan4CVmo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35.865588914549654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198</v>
      </c>
      <c r="D10" s="225">
        <f>IF(ISNUMBER(Datos!I10),Datos!I10," - ")</f>
        <v>198</v>
      </c>
      <c r="E10" s="226">
        <f>IF(ISNUMBER(Datos!J10),Datos!J10," - ")</f>
        <v>34</v>
      </c>
      <c r="F10" s="226">
        <f>IF(ISNUMBER(Datos!K10),Datos!K10," - ")</f>
        <v>22</v>
      </c>
      <c r="G10" s="1034" t="str">
        <f>IF(Datos!E10&lt;&gt;"",Datos!E10,Datos!D10)</f>
        <v>37</v>
      </c>
      <c r="H10" s="227">
        <f>IF(ISNUMBER(Datos!L10),Datos!L10," - ")</f>
        <v>210</v>
      </c>
      <c r="I10" s="1044" t="str">
        <f>IF(ISNUMBER(Datos!AS10/Datos!BM10),Datos!AS10/Datos!BM10," - ")</f>
        <v xml:space="preserve"> - </v>
      </c>
      <c r="J10" s="1045">
        <f>IF(ISNUMBER(Datos!BY10/Datos!CN10),Datos!BY10/Datos!CN10," - ")</f>
        <v>0</v>
      </c>
      <c r="K10" s="230">
        <f t="shared" ref="K10:K12" si="1">IF(ISNUMBER((E10-F10)/C10),(E10-F10)/C10," - ")</f>
        <v>6.0606060606060608E-2</v>
      </c>
      <c r="L10" s="1025">
        <f>IF(ISNUMBER(NºAsuntos!I10/NºAsuntos!G10),(NºAsuntos!I10/NºAsuntos!G10)*11," - ")</f>
        <v>105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198</v>
      </c>
      <c r="D13" s="1049">
        <f>SUBTOTAL(9,D9:D12)</f>
        <v>198</v>
      </c>
      <c r="E13" s="1050">
        <f>SUBTOTAL(9,E9:E12)</f>
        <v>34</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2312</v>
      </c>
      <c r="D15" s="225">
        <f>IF(ISNUMBER(IF(D_I="SI",Datos!I15,Datos!I15+Datos!AC15)),IF(D_I="SI",Datos!I15,Datos!I15+Datos!AC15)," - ")</f>
        <v>2294</v>
      </c>
      <c r="E15" s="226">
        <f>IF(ISNUMBER(IF(D_I="SI",Datos!J15,Datos!J15+Datos!AD15)),IF(D_I="SI",Datos!J15,Datos!J15+Datos!AD15)," - ")</f>
        <v>2286</v>
      </c>
      <c r="F15" s="226">
        <f>IF(ISNUMBER(IF(D_I="SI",Datos!K15,Datos!K15+Datos!AE15)),IF(D_I="SI",Datos!K15,Datos!K15+Datos!AE15)," - ")</f>
        <v>2466</v>
      </c>
      <c r="G15" s="1034" t="str">
        <f>IF(Datos!E15&lt;&gt;"",Datos!E15,Datos!D15)</f>
        <v>03</v>
      </c>
      <c r="H15" s="227">
        <f>IF(ISNUMBER(IF(D_I="SI",Datos!L15,Datos!L15+Datos!AF15)),IF(D_I="SI",Datos!L15,Datos!L15+Datos!AF15)," - ")</f>
        <v>2132</v>
      </c>
      <c r="I15" s="1044" t="str">
        <f>IF(ISNUMBER(Datos!AS15/Datos!BM15),Datos!AS15/Datos!BM15," - ")</f>
        <v xml:space="preserve"> - </v>
      </c>
      <c r="J15" s="1045">
        <f>IF(ISNUMBER(Datos!BY15/Datos!CN15),Datos!BY15/Datos!CN15," - ")</f>
        <v>0</v>
      </c>
      <c r="K15" s="230">
        <f t="shared" ref="K15:K17" si="3">IF(ISNUMBER((E15-F15)/C15),(E15-F15)/C15," - ")</f>
        <v>-7.7854671280276816E-2</v>
      </c>
      <c r="L15" s="1025">
        <f>IF(ISNUMBER(NºAsuntos!I15/NºAsuntos!G15),(NºAsuntos!I15/NºAsuntos!G15)*11," - ")</f>
        <v>9.5101378751013783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153</v>
      </c>
      <c r="D17" s="225">
        <f>IF(ISNUMBER(IF(D_I="SI",Datos!I17,Datos!I17+Datos!AC17)),IF(D_I="SI",Datos!I17,Datos!I17+Datos!AC17)," - ")</f>
        <v>153</v>
      </c>
      <c r="E17" s="226">
        <f>IF(ISNUMBER(IF(D_I="SI",Datos!J17,Datos!J17+Datos!AD17)),IF(D_I="SI",Datos!J17,Datos!J17+Datos!AD17)," - ")</f>
        <v>300</v>
      </c>
      <c r="F17" s="226">
        <f>IF(ISNUMBER(IF(D_I="SI",Datos!K17,Datos!K17+Datos!AE17)),IF(D_I="SI",Datos!K17,Datos!K17+Datos!AE17)," - ")</f>
        <v>318</v>
      </c>
      <c r="G17" s="1034" t="str">
        <f>IF(Datos!E17&lt;&gt;"",Datos!E17,Datos!D17)</f>
        <v>37</v>
      </c>
      <c r="H17" s="227">
        <f>IF(ISNUMBER(IF(D_I="SI",Datos!L17,Datos!L17+Datos!AF17)),IF(D_I="SI",Datos!L17,Datos!L17+Datos!AF17)," - ")</f>
        <v>135</v>
      </c>
      <c r="I17" s="1044" t="str">
        <f>IF(ISNUMBER(Datos!AS17/Datos!BM17),Datos!AS17/Datos!BM17," - ")</f>
        <v xml:space="preserve"> - </v>
      </c>
      <c r="J17" s="1045" t="str">
        <f>IF(ISNUMBER((Datos!BY17+Datos!BZ17)/Datos!CN17),(Datos!BY17+Datos!BZ17)/Datos!CN17," - ")</f>
        <v xml:space="preserve"> - </v>
      </c>
      <c r="K17" s="230">
        <f t="shared" si="3"/>
        <v>-0.11764705882352941</v>
      </c>
      <c r="L17" s="1025">
        <f>IF(ISNUMBER(NºAsuntos!I17/NºAsuntos!G17),(NºAsuntos!I17/NºAsuntos!G17)*11," - ")</f>
        <v>4.6698113207547172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2465</v>
      </c>
      <c r="D18" s="1049">
        <f>SUBTOTAL(9,D15:D17)</f>
        <v>2447</v>
      </c>
      <c r="E18" s="1050">
        <f>SUBTOTAL(9,E15:E17)</f>
        <v>2586</v>
      </c>
      <c r="F18" s="1050">
        <f>SUBTOTAL(9,F15:F17)</f>
        <v>2784</v>
      </c>
      <c r="G18" s="1052" t="str">
        <f ca="1">INDIRECT(CONCATENATE("G",ROW()-1))</f>
        <v>37</v>
      </c>
      <c r="H18" s="1053">
        <f ca="1">SUMIF(G$14:G17,G18,H$14:H17)</f>
        <v>135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2663</v>
      </c>
      <c r="D19" s="1071">
        <f>SUBTOTAL(9,D9:D18)</f>
        <v>2645</v>
      </c>
      <c r="E19" s="1072">
        <f>SUBTOTAL(9,E9:E18)</f>
        <v>2620</v>
      </c>
      <c r="F19" s="1072">
        <f>SUBTOTAL(9,F9:F18)</f>
        <v>2806</v>
      </c>
      <c r="G19" s="1073"/>
      <c r="H19" s="1074">
        <f ca="1">SUMIF(B9:B18,"TOTAL",H9:H18)</f>
        <v>135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WQFt+uN6drHAL5ZImuLkEh7aKlw6dgToP5jexOIW5aeocbFEs46tLjO0Jsh8wtzWL7daNuH5MVPqJjsH57Zfg==" saltValue="vMLMoCKL+WqSatRIrGJB1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GIvMqELpX2bnkUBAnlmEg2Duv9hQuJEJZfRxNMjyojk4QAfU4EZm4rwbumvUC5IBS1L4W6eZ2AcoYu1Vo4laA==" saltValue="bvvNCdGgwtoM2IzAaLEa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7377</v>
      </c>
      <c r="J9" s="181">
        <v>1553</v>
      </c>
      <c r="K9" s="181">
        <v>2078</v>
      </c>
      <c r="L9" s="181">
        <v>6852</v>
      </c>
      <c r="M9" s="181">
        <v>536</v>
      </c>
      <c r="N9" s="181">
        <v>1042</v>
      </c>
      <c r="O9" s="181">
        <v>755</v>
      </c>
      <c r="P9" s="181">
        <v>545</v>
      </c>
      <c r="Q9" s="181">
        <v>561</v>
      </c>
      <c r="R9" s="181">
        <v>6883</v>
      </c>
      <c r="S9" s="181">
        <v>4858</v>
      </c>
      <c r="T9" s="181">
        <v>2022</v>
      </c>
      <c r="U9" s="181">
        <v>1732</v>
      </c>
      <c r="V9" s="181">
        <v>5148</v>
      </c>
      <c r="W9" s="181">
        <v>502</v>
      </c>
      <c r="X9" s="188">
        <v>649</v>
      </c>
      <c r="Y9" s="191">
        <v>187</v>
      </c>
      <c r="Z9" s="181">
        <v>107</v>
      </c>
      <c r="AA9" s="181">
        <v>87</v>
      </c>
      <c r="AB9" s="181">
        <v>207</v>
      </c>
      <c r="AC9" s="181">
        <v>0</v>
      </c>
      <c r="AD9" s="181">
        <v>0</v>
      </c>
      <c r="AE9" s="181">
        <v>0</v>
      </c>
      <c r="AF9" s="188">
        <v>0</v>
      </c>
      <c r="AG9" s="191">
        <v>166</v>
      </c>
      <c r="AH9" s="181">
        <v>140</v>
      </c>
      <c r="AI9" s="181">
        <v>99</v>
      </c>
      <c r="AJ9" s="192">
        <v>207</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5024</v>
      </c>
      <c r="AZ9" s="123">
        <f>IF(ISNUMBER(IF(J_V="SI",T9,T9+AH9)),IF(J_V="SI",T9,T9+AH9)," - ")</f>
        <v>2162</v>
      </c>
      <c r="BA9" s="124">
        <f>IF(ISNUMBER(IF(J_V="SI",U9,U9+AI9)),IF(J_V="SI",U9,U9+AI9)," - ")</f>
        <v>1831</v>
      </c>
      <c r="BB9" s="124">
        <f>IF(ISNUMBER(IF(J_V="SI",V9,V9+AJ9)),IF(J_V="SI",V9,V9+AJ9)," - ")</f>
        <v>5355</v>
      </c>
      <c r="BC9" s="125">
        <f>IF(ISNUMBER(X9),X9," - ")</f>
        <v>649</v>
      </c>
      <c r="BD9" s="126">
        <f>IF(ISNUMBER(BA9/AZ9),BA9/AZ9," - ")</f>
        <v>0.84690101757631819</v>
      </c>
      <c r="BE9" s="127">
        <f>IF(ISNUMBER(BB9/BA9),BB9/BA9, " - ")</f>
        <v>2.9246313489896232</v>
      </c>
      <c r="BF9" s="127">
        <f>IF(ISNUMBER(BC9/BA9),BC9/BA9, " - ")</f>
        <v>0.35445111960677228</v>
      </c>
      <c r="BG9" s="196">
        <f>IF(ISNUMBER((AY9+AZ9)/BA9),(AY9+AZ9)/BA9," - ")</f>
        <v>3.9246313489896232</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198</v>
      </c>
      <c r="J10" s="181">
        <v>34</v>
      </c>
      <c r="K10" s="181">
        <v>22</v>
      </c>
      <c r="L10" s="181">
        <v>210</v>
      </c>
      <c r="M10" s="181">
        <v>10</v>
      </c>
      <c r="N10" s="181">
        <v>6</v>
      </c>
      <c r="O10" s="181">
        <v>2</v>
      </c>
      <c r="P10" s="181">
        <v>2</v>
      </c>
      <c r="Q10" s="181">
        <v>0</v>
      </c>
      <c r="R10" s="181">
        <v>75</v>
      </c>
      <c r="S10" s="181">
        <v>162</v>
      </c>
      <c r="T10" s="181">
        <v>37</v>
      </c>
      <c r="U10" s="181">
        <v>27</v>
      </c>
      <c r="V10" s="181">
        <v>172</v>
      </c>
      <c r="W10" s="181">
        <v>12</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162</v>
      </c>
      <c r="AZ10" s="129">
        <f t="shared" si="0"/>
        <v>37</v>
      </c>
      <c r="BA10" s="129">
        <f t="shared" si="0"/>
        <v>27</v>
      </c>
      <c r="BB10" s="129">
        <f t="shared" si="0"/>
        <v>172</v>
      </c>
      <c r="BC10" s="125">
        <f t="shared" si="0"/>
        <v>12</v>
      </c>
      <c r="BD10" s="126">
        <f>IF(ISNUMBER(BA10/AZ10),BA10/AZ10," - ")</f>
        <v>0.72972972972972971</v>
      </c>
      <c r="BE10" s="127">
        <f>IF(ISNUMBER(BB10/BA10),BB10/BA10, " - ")</f>
        <v>6.3703703703703702</v>
      </c>
      <c r="BF10" s="127">
        <f>IF(ISNUMBER(BC10/BA10),BC10/BA10, " - ")</f>
        <v>0.44444444444444442</v>
      </c>
      <c r="BG10" s="196">
        <f>IF(ISNUMBER((AY10+AZ10)/BA10),(AY10+AZ10)/BA10," - ")</f>
        <v>7.3703703703703702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7575</v>
      </c>
      <c r="J13" s="184">
        <f t="shared" si="6"/>
        <v>1587</v>
      </c>
      <c r="K13" s="184">
        <f t="shared" si="6"/>
        <v>2100</v>
      </c>
      <c r="L13" s="184">
        <f t="shared" si="6"/>
        <v>7062</v>
      </c>
      <c r="M13" s="184">
        <f t="shared" si="6"/>
        <v>546</v>
      </c>
      <c r="N13" s="184">
        <f t="shared" si="6"/>
        <v>1048</v>
      </c>
      <c r="O13" s="184">
        <f t="shared" si="6"/>
        <v>757</v>
      </c>
      <c r="P13" s="184">
        <f t="shared" si="6"/>
        <v>547</v>
      </c>
      <c r="Q13" s="184">
        <f t="shared" si="6"/>
        <v>561</v>
      </c>
      <c r="R13" s="184">
        <f t="shared" si="6"/>
        <v>6958</v>
      </c>
      <c r="S13" s="184">
        <f t="shared" si="6"/>
        <v>5020</v>
      </c>
      <c r="T13" s="184">
        <f t="shared" si="6"/>
        <v>2059</v>
      </c>
      <c r="U13" s="184">
        <f t="shared" si="6"/>
        <v>1759</v>
      </c>
      <c r="V13" s="184">
        <f t="shared" si="6"/>
        <v>5320</v>
      </c>
      <c r="W13" s="184">
        <f t="shared" si="6"/>
        <v>514</v>
      </c>
      <c r="X13" s="184">
        <f t="shared" si="6"/>
        <v>657</v>
      </c>
      <c r="Y13" s="184">
        <f t="shared" si="6"/>
        <v>187</v>
      </c>
      <c r="Z13" s="184">
        <f t="shared" si="6"/>
        <v>107</v>
      </c>
      <c r="AA13" s="184">
        <f t="shared" si="6"/>
        <v>87</v>
      </c>
      <c r="AB13" s="184">
        <f t="shared" si="6"/>
        <v>207</v>
      </c>
      <c r="AC13" s="184">
        <f t="shared" si="6"/>
        <v>0</v>
      </c>
      <c r="AD13" s="184">
        <f t="shared" si="6"/>
        <v>0</v>
      </c>
      <c r="AE13" s="184">
        <f t="shared" si="6"/>
        <v>0</v>
      </c>
      <c r="AF13" s="184">
        <f>SUBTOTAL(9,AF9:AF12)</f>
        <v>0</v>
      </c>
      <c r="AG13" s="184">
        <f t="shared" ref="AG13:AT13" si="7">SUBTOTAL(9,AG8:AG12)</f>
        <v>166</v>
      </c>
      <c r="AH13" s="184">
        <f t="shared" si="7"/>
        <v>140</v>
      </c>
      <c r="AI13" s="184">
        <f t="shared" si="7"/>
        <v>99</v>
      </c>
      <c r="AJ13" s="184">
        <f t="shared" si="7"/>
        <v>207</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5186</v>
      </c>
      <c r="AZ13" s="184">
        <f>SUBTOTAL(9,AZ8:AZ12)</f>
        <v>2199</v>
      </c>
      <c r="BA13" s="184">
        <f>SUBTOTAL(9,BA8:BA12)</f>
        <v>1858</v>
      </c>
      <c r="BB13" s="184">
        <f>SUBTOTAL(9,BB8:BB12)</f>
        <v>5527</v>
      </c>
      <c r="BC13" s="184">
        <f>SUBTOTAL(9,BC8:BC12)</f>
        <v>661</v>
      </c>
      <c r="BD13" s="205">
        <f>IF(ISNUMBER(BA13/AZ13),BA13/AZ13," - ")</f>
        <v>0.84492951341518874</v>
      </c>
      <c r="BE13" s="206">
        <f>IF(ISNUMBER(BB13/BA13),BB13/BA13, " - ")</f>
        <v>2.97470398277718</v>
      </c>
      <c r="BF13" s="206">
        <f>IF(ISNUMBER(BC13/BA13),BC13/BA13, " - ")</f>
        <v>0.35575888051668458</v>
      </c>
      <c r="BG13" s="207">
        <f>IF(ISNUMBER((AY13+AZ13)/BA13),(AY13+AZ13)/BA13," - ")</f>
        <v>3.97470398277718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2294</v>
      </c>
      <c r="J15" s="183">
        <v>2286</v>
      </c>
      <c r="K15" s="183">
        <v>2466</v>
      </c>
      <c r="L15" s="183">
        <v>2132</v>
      </c>
      <c r="M15" s="183">
        <v>266</v>
      </c>
      <c r="N15" s="183">
        <v>1632</v>
      </c>
      <c r="O15" s="181">
        <v>10</v>
      </c>
      <c r="P15" s="183">
        <v>18</v>
      </c>
      <c r="Q15" s="183">
        <v>10</v>
      </c>
      <c r="R15" s="183">
        <v>138</v>
      </c>
      <c r="S15" s="183">
        <v>2014</v>
      </c>
      <c r="T15" s="183">
        <v>2111</v>
      </c>
      <c r="U15" s="183">
        <v>2258</v>
      </c>
      <c r="V15" s="183">
        <v>1910</v>
      </c>
      <c r="W15" s="183">
        <v>223</v>
      </c>
      <c r="X15" s="189">
        <v>1350</v>
      </c>
      <c r="Y15" s="202">
        <v>0</v>
      </c>
      <c r="Z15" s="183">
        <v>0</v>
      </c>
      <c r="AA15" s="183">
        <v>0</v>
      </c>
      <c r="AB15" s="183">
        <v>0</v>
      </c>
      <c r="AC15" s="183">
        <v>0</v>
      </c>
      <c r="AD15" s="183">
        <v>0</v>
      </c>
      <c r="AE15" s="183">
        <v>0</v>
      </c>
      <c r="AF15" s="189">
        <v>0</v>
      </c>
      <c r="AG15" s="202">
        <v>0</v>
      </c>
      <c r="AH15" s="183">
        <v>0</v>
      </c>
      <c r="AI15" s="183">
        <v>0</v>
      </c>
      <c r="AJ15" s="203">
        <v>0</v>
      </c>
      <c r="AK15" s="182">
        <v>0</v>
      </c>
      <c r="AL15" s="183">
        <v>4</v>
      </c>
      <c r="AM15" s="183">
        <v>3</v>
      </c>
      <c r="AN15" s="189">
        <v>1</v>
      </c>
      <c r="AO15" s="259">
        <v>3</v>
      </c>
      <c r="AP15" s="155">
        <v>3</v>
      </c>
      <c r="AQ15" s="155">
        <v>3</v>
      </c>
      <c r="AR15" s="155">
        <v>3</v>
      </c>
      <c r="AS15" s="340" t="s">
        <v>522</v>
      </c>
      <c r="AT15" s="203" t="s">
        <v>326</v>
      </c>
      <c r="AU15" s="202"/>
      <c r="AV15" s="203"/>
      <c r="AW15" s="202"/>
      <c r="AX15" s="203"/>
      <c r="AY15" s="128">
        <f t="shared" ref="AY15:BB16" si="9">IF(ISNUMBER(IF(D_I="SI",S15,S15+AK15)),IF(D_I="SI",S15,S15+AK15)," - ")</f>
        <v>2014</v>
      </c>
      <c r="AZ15" s="129">
        <f t="shared" si="9"/>
        <v>2111</v>
      </c>
      <c r="BA15" s="129">
        <f t="shared" si="9"/>
        <v>2258</v>
      </c>
      <c r="BB15" s="129">
        <f t="shared" si="9"/>
        <v>1910</v>
      </c>
      <c r="BC15" s="125">
        <f>IF(ISNUMBER(W15),W15," - ")</f>
        <v>223</v>
      </c>
      <c r="BD15" s="126">
        <f>IF(ISNUMBER(BA15/AZ15),BA15/AZ15," - ")</f>
        <v>1.0696352439602084</v>
      </c>
      <c r="BE15" s="127">
        <f>IF(ISNUMBER(BB15/BA15),BB15/BA15, " - ")</f>
        <v>0.84588131089459695</v>
      </c>
      <c r="BF15" s="127">
        <f>IF(ISNUMBER(BC15/BA15),BC15/BA15, " - ")</f>
        <v>9.8759964570416303E-2</v>
      </c>
      <c r="BG15" s="196">
        <f t="shared" ref="BG15:BG16" si="10">IF(ISNUMBER((AY15+AZ15)/BA15),(AY15+AZ15)/BA15," - ")</f>
        <v>1.8268379096545615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153</v>
      </c>
      <c r="J17" s="183">
        <v>300</v>
      </c>
      <c r="K17" s="183">
        <v>318</v>
      </c>
      <c r="L17" s="183">
        <v>135</v>
      </c>
      <c r="M17" s="183">
        <v>62</v>
      </c>
      <c r="N17" s="183">
        <v>245</v>
      </c>
      <c r="O17" s="183">
        <v>0</v>
      </c>
      <c r="P17" s="183">
        <v>0</v>
      </c>
      <c r="Q17" s="183">
        <v>0</v>
      </c>
      <c r="R17" s="183">
        <v>12</v>
      </c>
      <c r="S17" s="183">
        <v>154</v>
      </c>
      <c r="T17" s="183">
        <v>329</v>
      </c>
      <c r="U17" s="183">
        <v>350</v>
      </c>
      <c r="V17" s="183">
        <v>133</v>
      </c>
      <c r="W17" s="183">
        <v>65</v>
      </c>
      <c r="X17" s="189">
        <v>235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154</v>
      </c>
      <c r="AZ17" s="129">
        <f t="shared" si="14"/>
        <v>329</v>
      </c>
      <c r="BA17" s="129">
        <f t="shared" si="14"/>
        <v>350</v>
      </c>
      <c r="BB17" s="129">
        <f t="shared" si="14"/>
        <v>133</v>
      </c>
      <c r="BC17" s="125">
        <f>IF(ISNUMBER(W17),W17," - ")</f>
        <v>65</v>
      </c>
      <c r="BD17" s="126">
        <f>IF(ISNUMBER(BA17/AZ17),BA17/AZ17," - ")</f>
        <v>1.0638297872340425</v>
      </c>
      <c r="BE17" s="127">
        <f>IF(ISNUMBER(BB17/BA17),BB17/BA17, " - ")</f>
        <v>0.38</v>
      </c>
      <c r="BF17" s="127">
        <f>IF(ISNUMBER(BC17/BA17),BC17/BA17, " - ")</f>
        <v>0.18571428571428572</v>
      </c>
      <c r="BG17" s="196">
        <f>IF(ISNUMBER((AY17+AZ17)/BA17),(AY17+AZ17)/BA17," - ")</f>
        <v>1.38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2447</v>
      </c>
      <c r="J18" s="184">
        <f t="shared" si="15"/>
        <v>2586</v>
      </c>
      <c r="K18" s="184">
        <f t="shared" si="15"/>
        <v>2784</v>
      </c>
      <c r="L18" s="184">
        <f t="shared" si="15"/>
        <v>2267</v>
      </c>
      <c r="M18" s="184">
        <f t="shared" si="15"/>
        <v>328</v>
      </c>
      <c r="N18" s="184">
        <f t="shared" si="15"/>
        <v>1877</v>
      </c>
      <c r="O18" s="184">
        <f t="shared" si="15"/>
        <v>10</v>
      </c>
      <c r="P18" s="184">
        <f t="shared" si="15"/>
        <v>18</v>
      </c>
      <c r="Q18" s="184">
        <f t="shared" si="15"/>
        <v>10</v>
      </c>
      <c r="R18" s="184">
        <f t="shared" si="15"/>
        <v>150</v>
      </c>
      <c r="S18" s="184">
        <f t="shared" si="15"/>
        <v>2168</v>
      </c>
      <c r="T18" s="184">
        <f t="shared" si="15"/>
        <v>2440</v>
      </c>
      <c r="U18" s="184">
        <f t="shared" si="15"/>
        <v>2608</v>
      </c>
      <c r="V18" s="184">
        <f t="shared" si="15"/>
        <v>2043</v>
      </c>
      <c r="W18" s="184">
        <f t="shared" si="15"/>
        <v>288</v>
      </c>
      <c r="X18" s="184">
        <f t="shared" si="15"/>
        <v>1585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4</v>
      </c>
      <c r="AM18" s="184">
        <f t="shared" si="15"/>
        <v>3</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2168</v>
      </c>
      <c r="AZ18" s="184">
        <f>SUBTOTAL(9,AZ14:AZ17)</f>
        <v>2440</v>
      </c>
      <c r="BA18" s="184">
        <f>SUBTOTAL(9,BA14:BA17)</f>
        <v>2608</v>
      </c>
      <c r="BB18" s="184">
        <f>SUBTOTAL(9,BB14:BB17)</f>
        <v>2043</v>
      </c>
      <c r="BC18" s="184">
        <f>SUBTOTAL(9,BC14:BC17)</f>
        <v>288</v>
      </c>
      <c r="BD18" s="205">
        <f>IF(ISNUMBER(BA18/AZ18),BA18/AZ18," - ")</f>
        <v>1.0688524590163935</v>
      </c>
      <c r="BE18" s="206">
        <f>IF(ISNUMBER(BB18/BA18),BB18/BA18, " - ")</f>
        <v>0.78335889570552142</v>
      </c>
      <c r="BF18" s="206">
        <f>IF(ISNUMBER(BC18/BA18),BC18/BA18, " - ")</f>
        <v>0.11042944785276074</v>
      </c>
      <c r="BG18" s="207">
        <f>IF(ISNUMBER((AY18+AZ18)/BA18),(AY18+AZ18)/BA18," - ")</f>
        <v>1.7668711656441718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10022</v>
      </c>
      <c r="J19" s="134">
        <f t="shared" si="18"/>
        <v>4173</v>
      </c>
      <c r="K19" s="134">
        <f t="shared" si="18"/>
        <v>4884</v>
      </c>
      <c r="L19" s="134">
        <f t="shared" si="18"/>
        <v>9329</v>
      </c>
      <c r="M19" s="134">
        <f t="shared" si="18"/>
        <v>874</v>
      </c>
      <c r="N19" s="134">
        <f t="shared" si="18"/>
        <v>2925</v>
      </c>
      <c r="O19" s="134">
        <f t="shared" si="18"/>
        <v>767</v>
      </c>
      <c r="P19" s="134">
        <f t="shared" si="18"/>
        <v>565</v>
      </c>
      <c r="Q19" s="134">
        <f t="shared" si="18"/>
        <v>571</v>
      </c>
      <c r="R19" s="134">
        <f t="shared" si="18"/>
        <v>7108</v>
      </c>
      <c r="S19" s="134">
        <f t="shared" si="18"/>
        <v>7188</v>
      </c>
      <c r="T19" s="134">
        <f t="shared" si="18"/>
        <v>4499</v>
      </c>
      <c r="U19" s="134">
        <f t="shared" si="18"/>
        <v>4367</v>
      </c>
      <c r="V19" s="134">
        <f t="shared" si="18"/>
        <v>7363</v>
      </c>
      <c r="W19" s="134">
        <f t="shared" si="18"/>
        <v>802</v>
      </c>
      <c r="X19" s="134">
        <f t="shared" si="18"/>
        <v>2242</v>
      </c>
      <c r="Y19" s="134">
        <f t="shared" si="18"/>
        <v>187</v>
      </c>
      <c r="Z19" s="134">
        <f t="shared" si="18"/>
        <v>107</v>
      </c>
      <c r="AA19" s="134">
        <f t="shared" si="18"/>
        <v>87</v>
      </c>
      <c r="AB19" s="134">
        <f t="shared" si="18"/>
        <v>207</v>
      </c>
      <c r="AC19" s="134">
        <f t="shared" si="18"/>
        <v>0</v>
      </c>
      <c r="AD19" s="134">
        <f t="shared" si="18"/>
        <v>0</v>
      </c>
      <c r="AE19" s="134">
        <f t="shared" si="18"/>
        <v>0</v>
      </c>
      <c r="AF19" s="134">
        <f t="shared" si="18"/>
        <v>0</v>
      </c>
      <c r="AG19" s="134">
        <f t="shared" si="18"/>
        <v>166</v>
      </c>
      <c r="AH19" s="134">
        <f t="shared" si="18"/>
        <v>140</v>
      </c>
      <c r="AI19" s="134">
        <f t="shared" si="18"/>
        <v>99</v>
      </c>
      <c r="AJ19" s="134">
        <f t="shared" si="18"/>
        <v>207</v>
      </c>
      <c r="AK19" s="134">
        <f t="shared" si="18"/>
        <v>0</v>
      </c>
      <c r="AL19" s="134">
        <f t="shared" si="18"/>
        <v>4</v>
      </c>
      <c r="AM19" s="134">
        <f t="shared" si="18"/>
        <v>3</v>
      </c>
      <c r="AN19" s="210">
        <f t="shared" si="18"/>
        <v>1</v>
      </c>
      <c r="AO19" s="211">
        <v>9</v>
      </c>
      <c r="AP19" s="211">
        <v>8</v>
      </c>
      <c r="AQ19" s="211">
        <v>8</v>
      </c>
      <c r="AR19" s="211">
        <v>8</v>
      </c>
      <c r="AS19" s="153">
        <f t="shared" si="18"/>
        <v>0</v>
      </c>
      <c r="AT19" s="153">
        <f t="shared" si="18"/>
        <v>0</v>
      </c>
      <c r="AU19" s="211"/>
      <c r="AV19" s="212"/>
      <c r="AW19" s="211"/>
      <c r="AX19" s="212"/>
      <c r="AY19" s="133">
        <f>SUBTOTAL(9,AY9:AY18)</f>
        <v>7354</v>
      </c>
      <c r="AZ19" s="134">
        <f>SUBTOTAL(9,AZ9:AZ18)</f>
        <v>4639</v>
      </c>
      <c r="BA19" s="134">
        <f>SUBTOTAL(9,BA9:BA18)</f>
        <v>4466</v>
      </c>
      <c r="BB19" s="134">
        <f>SUBTOTAL(9,BB9:BB18)</f>
        <v>7570</v>
      </c>
      <c r="BC19" s="135">
        <f>SUBTOTAL(9,BC9:BC18)</f>
        <v>949</v>
      </c>
      <c r="BD19" s="213">
        <f>IF(ISNUMBER(BA19/AZ19),BA19/AZ19," - ")</f>
        <v>0.96270748006035789</v>
      </c>
      <c r="BE19" s="210">
        <f>IF(ISNUMBER(BB19/BA19),BB19/BA19, " - ")</f>
        <v>1.6950291088222122</v>
      </c>
      <c r="BF19" s="210">
        <f>IF(ISNUMBER(BC19/BA19),BC19/BA19, " - ")</f>
        <v>0.21249440214957457</v>
      </c>
      <c r="BG19" s="135">
        <f>IF(ISNUMBER((AY19+AZ19)/BA19),(AY19+AZ19)/BA19," - ")</f>
        <v>2.6854008060904611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M/QCOhROtqoni3ANE5wudynrUmLHULsXRbeikKHFIZgLEiSye9C3oCnvpfgpL+zUWQpmm8WYE3KR5mdpHUtZA==" saltValue="SVJWE3AJuP+ZWx3G1KJU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UCcZh/lDTvyNRFPP3Y8Klr3OCfmGpxjSwWTX1V8IzOgoC3UahMiNplWKjJ4aJs4YUekI5AMxq3h9/FX0H/hkA==" saltValue="mBlEGx5Ev7Om0z2g3r+va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MANACOR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107</v>
      </c>
      <c r="O9" s="334"/>
      <c r="P9" s="334"/>
      <c r="Q9" s="226">
        <f>IF(ISNUMBER(Datos!P9),Datos!P9,0)</f>
        <v>545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561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207</v>
      </c>
      <c r="AI9" s="334" t="str">
        <f>IF(ISNUMBER(Datos!CD9),Datos!CD9,"-")</f>
        <v>-</v>
      </c>
      <c r="AJ9" s="334" t="str">
        <f>IF(ISNUMBER(Datos!EN9),Datos!EN9," - ")</f>
        <v xml:space="preserve"> - </v>
      </c>
      <c r="AK9" s="334"/>
      <c r="AL9" s="479"/>
      <c r="AM9" s="335">
        <f>IF(ISNUMBER(Datos!R9),Datos!R9," - ")</f>
        <v>6883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536</v>
      </c>
      <c r="BD9" s="229">
        <f>IF(ISNUMBER(Datos!N9),Datos!N9," - ")</f>
        <v>1042</v>
      </c>
      <c r="BE9" s="229" t="str">
        <f>IF(ISNUMBER(Datos!BW9),Datos!BW9," - ")</f>
        <v xml:space="preserve"> - </v>
      </c>
      <c r="BF9" s="228" t="str">
        <f>IF(ISNUMBER(Datos!BX9),Datos!BX9," - ")</f>
        <v xml:space="preserve"> - </v>
      </c>
      <c r="BG9" s="243">
        <f>IF(ISNUMBER(IF(J_V="SI",Datos!K9/Datos!J9,(Datos!K9+Datos!AA9)/(Datos!J9+Datos!Z9))),IF(J_V="SI",Datos!K9/Datos!J9,(Datos!K9+Datos!AA9)/(Datos!J9+Datos!Z9))," - ")</f>
        <v>1.3042168674698795</v>
      </c>
      <c r="BH9" s="260">
        <f>IF(ISNUMBER(((IF(J_V="SI",Datos!L9/Datos!K9,(Datos!L9+Datos!AB9)/(Datos!K9+Datos!AA9)))*11)/factor_trimestre),((IF(J_V="SI",Datos!L9/Datos!K9,(Datos!L9+Datos!AB9)/(Datos!K9+Datos!AA9)))*11)/factor_trimestre," - ")</f>
        <v>9.7815242494226329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-2.3191766922742428E-3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198</v>
      </c>
      <c r="G10" s="333">
        <f>IF(ISNUMBER(Datos!I10),Datos!I10," - ")</f>
        <v>198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210</v>
      </c>
      <c r="AG10" s="334"/>
      <c r="AH10" s="334"/>
      <c r="AI10" s="334"/>
      <c r="AJ10" s="334"/>
      <c r="AK10" s="334"/>
      <c r="AL10" s="479"/>
      <c r="AM10" s="335">
        <f>IF(ISNUMBER(Datos!R10),Datos!R10," - ")</f>
        <v>75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6</v>
      </c>
      <c r="BE10" s="229" t="str">
        <f>IF(ISNUMBER(Datos!BW10),Datos!BW10," - ")</f>
        <v xml:space="preserve"> - </v>
      </c>
      <c r="BF10" s="228" t="str">
        <f>IF(ISNUMBER(Datos!BX10),Datos!BX10," - ")</f>
        <v xml:space="preserve"> - </v>
      </c>
      <c r="BG10" s="243">
        <f>IF(ISNUMBER(Datos!K10/Datos!J10),Datos!K10/Datos!J10," - ")</f>
        <v>0.6470588235294118</v>
      </c>
      <c r="BH10" s="260">
        <f>IF(ISNUMBER(((Datos!L10/Datos!K10)*11)/factor_trimestre),((Datos!L10/Datos!K10)*11)/factor_trimestre," - ")</f>
        <v>28.636363636363637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2.7397260273972601E-2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198</v>
      </c>
      <c r="G13" s="898">
        <f t="shared" si="0"/>
        <v>198</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547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561</v>
      </c>
      <c r="AD13" s="899">
        <f t="shared" si="1"/>
        <v>0</v>
      </c>
      <c r="AE13" s="899">
        <f t="shared" si="1"/>
        <v>0</v>
      </c>
      <c r="AF13" s="899">
        <f t="shared" si="1"/>
        <v>210</v>
      </c>
      <c r="AG13" s="899">
        <f t="shared" si="1"/>
        <v>0</v>
      </c>
      <c r="AH13" s="899">
        <f t="shared" si="1"/>
        <v>207</v>
      </c>
      <c r="AI13" s="899">
        <f t="shared" si="1"/>
        <v>0</v>
      </c>
      <c r="AJ13" s="899">
        <f t="shared" si="1"/>
        <v>0</v>
      </c>
      <c r="AK13" s="899">
        <f t="shared" si="1"/>
        <v>0</v>
      </c>
      <c r="AL13" s="899">
        <f t="shared" si="1"/>
        <v>0</v>
      </c>
      <c r="AM13" s="899">
        <f t="shared" si="1"/>
        <v>6958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546</v>
      </c>
      <c r="BD13" s="899">
        <f t="shared" si="1"/>
        <v>1048</v>
      </c>
      <c r="BE13" s="899">
        <f t="shared" si="1"/>
        <v>0</v>
      </c>
      <c r="BF13" s="899">
        <f t="shared" si="1"/>
        <v>0</v>
      </c>
      <c r="BG13" s="899">
        <f>IF(ISNUMBER(Datos!K13/Datos!J13),Datos!K13/Datos!J13," - ")</f>
        <v>1.3232514177693762</v>
      </c>
      <c r="BH13" s="903">
        <f>IF(ISNUMBER(((Datos!L13/Datos!K13)*11)/factor_trimestre),((Datos!L13/Datos!K13)*11)/factor_trimestre," - ")</f>
        <v>10.088571428571429</v>
      </c>
      <c r="BI13" s="899">
        <f>IF(ISNUMBER('Resol  Asuntos'!D13/NºAsuntos!G13),'Resol  Asuntos'!D13/NºAsuntos!G13," - ")</f>
        <v>0.2496570644718793</v>
      </c>
      <c r="BJ13" s="899" t="str">
        <f>IF(ISNUMBER(Datos!CI13/Datos!CJ13),Datos!CI13/Datos!CJ13," - ")</f>
        <v xml:space="preserve"> - </v>
      </c>
      <c r="BK13" s="899">
        <f>SUBTOTAL(9,BK8:BK12)</f>
        <v>0</v>
      </c>
      <c r="BL13" s="899">
        <f>IF(ISNUMBER((I13-AB13+L13)/(F13)),(I13-AB13+L13)/(F13)," - ")</f>
        <v>-0.1111111111111111</v>
      </c>
      <c r="BM13" s="904">
        <f>SUBTOTAL(9,BM9:BM12)</f>
        <v>2.5078083581698357E-2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2312</v>
      </c>
      <c r="G15" s="598">
        <f>IF(ISNUMBER(IF(D_I="SI",Datos!I15,Datos!I15+Datos!AC15)),IF(D_I="SI",Datos!I15,Datos!I15+Datos!AC15)," - ")</f>
        <v>2294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2466</v>
      </c>
      <c r="AC15" s="226">
        <f>IF(ISNUMBER(Datos!Q15),Datos!Q15," - ")</f>
        <v>10</v>
      </c>
      <c r="AD15" s="334"/>
      <c r="AE15" s="484"/>
      <c r="AF15" s="596">
        <f>IF(ISNUMBER(IF(D_I="SI",Datos!L15,Datos!L15+Datos!AF15)),IF(D_I="SI",Datos!L15,Datos!L15+Datos!AF15)," - ")</f>
        <v>2132</v>
      </c>
      <c r="AG15" s="334"/>
      <c r="AH15" s="334"/>
      <c r="AI15" s="334"/>
      <c r="AJ15" s="334"/>
      <c r="AK15" s="334"/>
      <c r="AL15" s="479"/>
      <c r="AM15" s="335">
        <f>IF(ISNUMBER(Datos!R15),Datos!R15," - ")</f>
        <v>138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266</v>
      </c>
      <c r="BD15" s="229">
        <f>IF(ISNUMBER(Datos!N15),Datos!N15," - ")</f>
        <v>1632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1.078740157480315</v>
      </c>
      <c r="BH15" s="260">
        <f>IF(ISNUMBER(((IF(D_I="SI",Datos!L15/Datos!K15,(Datos!L15+Datos!AF15)/(Datos!K15+Datos!AE15)))*11)/factor_trimestre),((IF(D_I="SI",Datos!L15/Datos!K15,(Datos!L15+Datos!AF15)/(Datos!K15+Datos!AE15)))*11)/factor_trimestre," - ")</f>
        <v>2.5936739659367398</v>
      </c>
      <c r="BI15" s="243">
        <f>IF(ISNUMBER('Resol  Asuntos'!D15/NºAsuntos!G15),'Resol  Asuntos'!D15/NºAsuntos!G15," - ")</f>
        <v>0.10786699107866991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318</v>
      </c>
      <c r="AC17" s="226">
        <f>IF(ISNUMBER(Datos!Q17),Datos!Q17," - ")</f>
        <v>0</v>
      </c>
      <c r="AD17" s="334"/>
      <c r="AE17" s="484"/>
      <c r="AF17" s="332">
        <f>IF(ISNUMBER(Datos!L17),Datos!L17,"-")</f>
        <v>135</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62</v>
      </c>
      <c r="BD17" s="229">
        <f>IF(ISNUMBER(Datos!N17),Datos!N17," - ")</f>
        <v>245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v>
      </c>
      <c r="BH17" s="260">
        <f>IF(ISNUMBER(((IF(D_I="SI",Datos!L17/Datos!K17,(Datos!L17+Datos!AF17)/(Datos!K17+Datos!AE17)))*11)/factor_trimestre),((IF(D_I="SI",Datos!L17/Datos!K17,(Datos!L17+Datos!AF17)/(Datos!K17+Datos!AE17)))*11)/factor_trimestre," - ")</f>
        <v>1.2735849056603774</v>
      </c>
      <c r="BI17" s="243">
        <f>IF(ISNUMBER('Resol  Asuntos'!D17/NºAsuntos!G17),'Resol  Asuntos'!D17/NºAsuntos!G17," - ")</f>
        <v>0.19496855345911951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2312</v>
      </c>
      <c r="G18" s="898">
        <f>SUBTOTAL(9,G15:G17)</f>
        <v>2447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2784</v>
      </c>
      <c r="AC18" s="899">
        <f t="shared" si="4"/>
        <v>10</v>
      </c>
      <c r="AD18" s="899">
        <f t="shared" si="4"/>
        <v>0</v>
      </c>
      <c r="AE18" s="899">
        <f t="shared" si="4"/>
        <v>0</v>
      </c>
      <c r="AF18" s="899">
        <f t="shared" si="4"/>
        <v>2267</v>
      </c>
      <c r="AG18" s="899">
        <f t="shared" si="4"/>
        <v>0</v>
      </c>
      <c r="AH18" s="899">
        <f t="shared" si="4"/>
        <v>0</v>
      </c>
      <c r="AI18" s="899">
        <f t="shared" si="4"/>
        <v>0</v>
      </c>
      <c r="AJ18" s="899">
        <f t="shared" si="4"/>
        <v>0</v>
      </c>
      <c r="AK18" s="899">
        <f t="shared" si="4"/>
        <v>0</v>
      </c>
      <c r="AL18" s="899">
        <f t="shared" si="4"/>
        <v>0</v>
      </c>
      <c r="AM18" s="899">
        <f t="shared" si="4"/>
        <v>150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328</v>
      </c>
      <c r="BD18" s="899">
        <f t="shared" si="4"/>
        <v>1877</v>
      </c>
      <c r="BE18" s="899">
        <f t="shared" si="4"/>
        <v>0</v>
      </c>
      <c r="BF18" s="899">
        <f t="shared" si="4"/>
        <v>0</v>
      </c>
      <c r="BG18" s="899">
        <f>IF(ISNUMBER(Datos!K18/Datos!J18),Datos!K18/Datos!J18," - ")</f>
        <v>1.0765661252900232</v>
      </c>
      <c r="BH18" s="903">
        <f>IF(ISNUMBER(((Datos!L18/Datos!K18)*11)/factor_trimestre),((Datos!L18/Datos!K18)*11)/factor_trimestre," - ")</f>
        <v>2.4428879310344831</v>
      </c>
      <c r="BI18" s="899">
        <f>SUBTOTAL(9,BI15:BI17)</f>
        <v>0.30283554453778944</v>
      </c>
      <c r="BJ18" s="899">
        <f>SUBTOTAL(9,BJ15:BJ17)</f>
        <v>0</v>
      </c>
      <c r="BK18" s="899">
        <f>SUBTOTAL(9,BK15:BK17)</f>
        <v>0</v>
      </c>
      <c r="BL18" s="899">
        <f>IF(ISNUMBER((I18-AB18+L18)/(F18)),(I18-AB18+L18)/(F18)," - ")</f>
        <v>-1.2041522491349481</v>
      </c>
      <c r="BM18" s="905">
        <f>IF(ISNUMBER((Datos!P18-Datos!Q18)/(Datos!R18-Datos!P18+Datos!Q18)),(Datos!P18-Datos!Q18)/(Datos!R18-Datos!P18+Datos!Q18)," - ")</f>
        <v>5.6338028169014086E-2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2510</v>
      </c>
      <c r="G19" s="820">
        <f t="shared" si="6"/>
        <v>2645</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565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2806</v>
      </c>
      <c r="AC19" s="821">
        <f t="shared" si="7"/>
        <v>571</v>
      </c>
      <c r="AD19" s="821">
        <f t="shared" si="7"/>
        <v>0</v>
      </c>
      <c r="AE19" s="821">
        <f t="shared" si="7"/>
        <v>0</v>
      </c>
      <c r="AF19" s="828">
        <f t="shared" si="7"/>
        <v>2477</v>
      </c>
      <c r="AG19" s="828">
        <f t="shared" si="7"/>
        <v>0</v>
      </c>
      <c r="AH19" s="828">
        <f t="shared" si="7"/>
        <v>207</v>
      </c>
      <c r="AI19" s="828">
        <f t="shared" si="7"/>
        <v>0</v>
      </c>
      <c r="AJ19" s="821">
        <f t="shared" si="7"/>
        <v>0</v>
      </c>
      <c r="AK19" s="828">
        <f t="shared" si="7"/>
        <v>0</v>
      </c>
      <c r="AL19" s="828">
        <f t="shared" si="7"/>
        <v>0</v>
      </c>
      <c r="AM19" s="828">
        <f t="shared" si="7"/>
        <v>7108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874</v>
      </c>
      <c r="BD19" s="820">
        <f t="shared" si="7"/>
        <v>2925</v>
      </c>
      <c r="BE19" s="820">
        <f t="shared" si="7"/>
        <v>0</v>
      </c>
      <c r="BF19" s="830">
        <f t="shared" si="7"/>
        <v>0</v>
      </c>
      <c r="BG19" s="915">
        <f>IF(ISNUMBER(Datos!K19/Datos!J19),Datos!K19/Datos!J19," - ")</f>
        <v>1.1703810208483105</v>
      </c>
      <c r="BH19" s="915">
        <f>IF(ISNUMBER(((Datos!L19/Datos!K19)*11)/factor_trimestre),((Datos!L19/Datos!K19)*11)/factor_trimestre," - ")</f>
        <v>5.7303439803439806</v>
      </c>
      <c r="BI19" s="813">
        <f>IF(ISNUMBER(Datos!J19/Datos!I19),Datos!J19/Datos!I19," - ")</f>
        <v>0.41638395529834366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-1.1179282868525897</v>
      </c>
      <c r="BM19" s="889">
        <f>IF(ISNUMBER((Datos!P19-Datos!Q19+R19)/(Datos!R19-Datos!P19+Datos!Q19-R19)),(Datos!P19-Datos!Q19+R19)/(Datos!R19-Datos!P19+Datos!Q19-R19)," - ")</f>
        <v>-8.4340736575766093E-4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2.2236106773543889</v>
      </c>
      <c r="F21" s="551">
        <f>IF(ISNUMBER(STDEV(F8:F18)),STDEV(F8:F18),"-")</f>
        <v>1220.5184690668689</v>
      </c>
      <c r="G21" s="552">
        <f>IF(ISNUMBER(STDEV(G8:G18)),STDEV(G8:G18),"-")</f>
        <v>1199.5042726059794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1381.5747536778458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227.35229637429808</v>
      </c>
      <c r="BD21" s="551"/>
      <c r="BE21" s="551">
        <f>IF(ISNUMBER(STDEV(BE8:BE18)),STDEV(BE8:BE18),"-")</f>
        <v>0</v>
      </c>
      <c r="BF21" s="556">
        <f>IF(ISNUMBER(STDEV(BF8:BF18)),STDEV(BF8:BF18),"-")</f>
        <v>0</v>
      </c>
      <c r="BG21" s="775">
        <f>IF(ISNUMBER(STDEV(BG8:BG18)),STDEV(BG8:BG18),"-")</f>
        <v>0.24383592063341397</v>
      </c>
      <c r="BH21" s="776">
        <f>IF(ISNUMBER(STDEV(BH8:BH18)),STDEV(BH8:BH18),"-")</f>
        <v>10.305393015229647</v>
      </c>
      <c r="BI21" s="249">
        <f>IF(ISNUMBER(STDEV(BI8:BI18)),STDEV(BI8:BI18),"-")</f>
        <v>8.3245578292577366E-2</v>
      </c>
      <c r="BJ21" s="230" t="str">
        <f>IF(ISNUMBER(BL21/BM21),BL21/BM21," - ")</f>
        <v xml:space="preserve"> - </v>
      </c>
      <c r="BK21" s="575"/>
      <c r="BL21" s="559">
        <f>IF(ISNUMBER(STDEV(BL8:BL18)),STDEV(BL8:BL18),"-")</f>
        <v>0.7728968008125161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F6isS0dwTopWVRRzRkbaZ+4bFUo/ddroFHbQFcegyxnXpHyyZoHYLnF/7LZdql6RCbqdsk/eypNjsV6gvXTag==" saltValue="iCGTlVtRkk2+zna8H669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MANACOR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545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561</v>
      </c>
      <c r="AA9" s="332" t="str">
        <f>IF(ISNUMBER(IF(J_V="SI",Datos!L9,Datos!L9+Datos!AB9)-IF(Monitorios="SI",Datos!CD9,0)),
                          IF(J_V="SI",Datos!L9,Datos!L9+Datos!AB9)-IF(Monitorios="SI",Datos!CD9,0),
                          " - ")</f>
        <v xml:space="preserve"> - </v>
      </c>
      <c r="AB9" s="334"/>
      <c r="AC9" s="334"/>
      <c r="AD9" s="484"/>
      <c r="AE9" s="484">
        <f>IF(ISNUMBER(Datos!R9),Datos!R9," - ")</f>
        <v>6883</v>
      </c>
      <c r="AF9" s="229" t="str">
        <f>IF(ISNUMBER(Datos!BV9),Datos!BV9," - ")</f>
        <v xml:space="preserve"> - </v>
      </c>
      <c r="AG9" s="225" t="str">
        <f>IF(ISNUMBER(Datos!DV9),Datos!DV9," - ")</f>
        <v xml:space="preserve"> - </v>
      </c>
      <c r="AH9" s="298"/>
      <c r="AI9" s="227"/>
      <c r="AJ9" s="225">
        <f>IF(ISNUMBER(Datos!M9),Datos!M9," - ")</f>
        <v>536</v>
      </c>
      <c r="AK9" s="229">
        <f>IF(ISNUMBER(Datos!N9),Datos!N9," - ")</f>
        <v>1042</v>
      </c>
      <c r="AL9" s="229" t="str">
        <f>IF(ISNUMBER(Datos!BW9),Datos!BW9," - ")</f>
        <v xml:space="preserve"> - </v>
      </c>
      <c r="AM9" s="228" t="str">
        <f>IF(ISNUMBER(Datos!BX9),Datos!BX9," - ")</f>
        <v xml:space="preserve"> - </v>
      </c>
      <c r="AN9" s="243"/>
      <c r="AO9" s="260">
        <f>IF(ISNUMBER(((NºAsuntos!I9/NºAsuntos!G9)*11)/factor_trimestre),((NºAsuntos!I9/NºAsuntos!G9)*11)/factor_trimestre," - ")</f>
        <v>9.7815242494226329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-2.3191766922742428E-3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198</v>
      </c>
      <c r="G10" s="225">
        <f>IF(ISNUMBER(Datos!I10),Datos!I10," - ")</f>
        <v>198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210</v>
      </c>
      <c r="AB10" s="334"/>
      <c r="AC10" s="334"/>
      <c r="AD10" s="484"/>
      <c r="AE10" s="484">
        <f>IF(ISNUMBER(Datos!R10),Datos!R10," - ")</f>
        <v>75</v>
      </c>
      <c r="AF10" s="229" t="str">
        <f>IF(ISNUMBER(Datos!BV10),Datos!BV10," - ")</f>
        <v xml:space="preserve"> - </v>
      </c>
      <c r="AG10" s="225" t="str">
        <f>IF(ISNUMBER(Datos!DV10),Datos!DV10," - ")</f>
        <v xml:space="preserve"> - </v>
      </c>
      <c r="AH10" s="298"/>
      <c r="AI10" s="227"/>
      <c r="AJ10" s="225">
        <f>IF(ISNUMBER(Datos!M10),Datos!M10," - ")</f>
        <v>10</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28.636363636363637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2.7397260273972601E-2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198</v>
      </c>
      <c r="G13" s="898">
        <f>SUBTOTAL(9,G8:G12)</f>
        <v>198</v>
      </c>
      <c r="H13" s="908"/>
      <c r="I13" s="898">
        <f t="shared" ref="I13:N13" si="0">SUBTOTAL(9,I8:I12)</f>
        <v>0</v>
      </c>
      <c r="J13" s="867">
        <f t="shared" si="0"/>
        <v>0</v>
      </c>
      <c r="K13" s="908">
        <f t="shared" si="0"/>
        <v>0</v>
      </c>
      <c r="L13" s="908">
        <f t="shared" si="0"/>
        <v>0</v>
      </c>
      <c r="M13" s="908">
        <f t="shared" si="0"/>
        <v>0</v>
      </c>
      <c r="N13" s="908">
        <f t="shared" si="0"/>
        <v>547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561</v>
      </c>
      <c r="AA13" s="900">
        <f t="shared" si="2"/>
        <v>210</v>
      </c>
      <c r="AB13" s="900">
        <f t="shared" si="2"/>
        <v>0</v>
      </c>
      <c r="AC13" s="900">
        <f t="shared" si="2"/>
        <v>0</v>
      </c>
      <c r="AD13" s="900">
        <f t="shared" si="2"/>
        <v>0</v>
      </c>
      <c r="AE13" s="900">
        <f t="shared" si="2"/>
        <v>6958</v>
      </c>
      <c r="AF13" s="908">
        <f t="shared" si="2"/>
        <v>0</v>
      </c>
      <c r="AG13" s="908">
        <f t="shared" si="2"/>
        <v>0</v>
      </c>
      <c r="AH13" s="908">
        <f t="shared" si="2"/>
        <v>0</v>
      </c>
      <c r="AI13" s="908">
        <f t="shared" si="2"/>
        <v>0</v>
      </c>
      <c r="AJ13" s="908">
        <f t="shared" si="2"/>
        <v>546</v>
      </c>
      <c r="AK13" s="908">
        <f t="shared" si="2"/>
        <v>1048</v>
      </c>
      <c r="AL13" s="908">
        <f t="shared" si="2"/>
        <v>0</v>
      </c>
      <c r="AM13" s="908">
        <f t="shared" si="2"/>
        <v>0</v>
      </c>
      <c r="AN13" s="908">
        <f t="shared" si="2"/>
        <v>0</v>
      </c>
      <c r="AO13" s="904">
        <f>IF(ISNUMBER(((NºAsuntos!I13/NºAsuntos!G13)*11)/factor_trimestre),((NºAsuntos!I13/NºAsuntos!G13)*11)/factor_trimestre," - ")</f>
        <v>9.9711934156378597</v>
      </c>
      <c r="AP13" s="910" t="str">
        <f>IF(ISNUMBER(Datos!CI13/Datos!CJ13),Datos!CI13/Datos!CJ13," - ")</f>
        <v xml:space="preserve"> - </v>
      </c>
      <c r="AQ13" s="928">
        <f t="shared" ref="AQ13:AV13" si="3">SUBTOTAL(9,AQ9:AQ12)</f>
        <v>0</v>
      </c>
      <c r="AR13" s="928">
        <f t="shared" si="3"/>
        <v>2.5078083581698357E-2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2312</v>
      </c>
      <c r="G15" s="225">
        <f>IF(ISNUMBER(IF(D_I="SI",Datos!I15,Datos!I15+Datos!AC15)),IF(D_I="SI",Datos!I15,Datos!I15+Datos!AC15)," - ")</f>
        <v>2294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2466</v>
      </c>
      <c r="Z15" s="619">
        <f>IF(ISNUMBER(Datos!Q15),Datos!Q15," - ")</f>
        <v>10</v>
      </c>
      <c r="AA15" s="332">
        <f>IF(ISNUMBER(IF(D_I="SI",Datos!L15,Datos!L15+Datos!AF15)),IF(D_I="SI",Datos!L15,Datos!L15+Datos!AF15)," - ")</f>
        <v>2132</v>
      </c>
      <c r="AB15" s="334"/>
      <c r="AC15" s="334"/>
      <c r="AD15" s="484"/>
      <c r="AE15" s="484">
        <f>IF(ISNUMBER(Datos!R15),Datos!R15," - ")</f>
        <v>138</v>
      </c>
      <c r="AF15" s="229" t="str">
        <f>IF(ISNUMBER(Datos!BV15),Datos!BV15," - ")</f>
        <v xml:space="preserve"> - </v>
      </c>
      <c r="AG15" s="225"/>
      <c r="AH15" s="298"/>
      <c r="AI15" s="227"/>
      <c r="AJ15" s="225">
        <f>IF(ISNUMBER(Datos!M15),Datos!M15," - ")</f>
        <v>266</v>
      </c>
      <c r="AK15" s="229">
        <f>IF(ISNUMBER(Datos!N15),Datos!N15," - ")</f>
        <v>1632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2.5936739659367398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318</v>
      </c>
      <c r="Z17" s="619">
        <f>IF(ISNUMBER(Datos!Q17),Datos!Q17," - ")</f>
        <v>0</v>
      </c>
      <c r="AA17" s="332">
        <f>IF(ISNUMBER(Datos!L17),Datos!L17,"-")</f>
        <v>135</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62</v>
      </c>
      <c r="AK17" s="229">
        <f>IF(ISNUMBER(Datos!N17),Datos!N17," - ")</f>
        <v>245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1.2735849056603774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2312</v>
      </c>
      <c r="G18" s="898">
        <f>SUBTOTAL(9,G15:G17)</f>
        <v>2447</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2784</v>
      </c>
      <c r="Z18" s="932">
        <f t="shared" si="5"/>
        <v>10</v>
      </c>
      <c r="AA18" s="932">
        <f t="shared" si="5"/>
        <v>2267</v>
      </c>
      <c r="AB18" s="932">
        <f t="shared" si="5"/>
        <v>0</v>
      </c>
      <c r="AC18" s="932">
        <f t="shared" si="5"/>
        <v>0</v>
      </c>
      <c r="AD18" s="932">
        <f t="shared" si="5"/>
        <v>0</v>
      </c>
      <c r="AE18" s="932">
        <f t="shared" si="5"/>
        <v>150</v>
      </c>
      <c r="AF18" s="932">
        <f t="shared" si="5"/>
        <v>0</v>
      </c>
      <c r="AG18" s="932">
        <f t="shared" si="5"/>
        <v>0</v>
      </c>
      <c r="AH18" s="932">
        <f t="shared" si="5"/>
        <v>0</v>
      </c>
      <c r="AI18" s="932">
        <f t="shared" si="5"/>
        <v>0</v>
      </c>
      <c r="AJ18" s="932">
        <f t="shared" si="5"/>
        <v>328</v>
      </c>
      <c r="AK18" s="932">
        <f t="shared" si="5"/>
        <v>1877</v>
      </c>
      <c r="AL18" s="932">
        <f t="shared" si="5"/>
        <v>0</v>
      </c>
      <c r="AM18" s="932">
        <f t="shared" si="5"/>
        <v>0</v>
      </c>
      <c r="AN18" s="932">
        <f t="shared" si="5"/>
        <v>0</v>
      </c>
      <c r="AO18" s="934">
        <f>IF(ISNUMBER(((NºAsuntos!I18/NºAsuntos!G18)*11)/factor_trimestre),((NºAsuntos!I18/NºAsuntos!G18)*11)/factor_trimestre," - ")</f>
        <v>2.4428879310344831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2510</v>
      </c>
      <c r="G19" s="820">
        <f t="shared" si="7"/>
        <v>2645</v>
      </c>
      <c r="H19" s="821">
        <f t="shared" si="7"/>
        <v>0</v>
      </c>
      <c r="I19" s="820">
        <f t="shared" si="7"/>
        <v>0</v>
      </c>
      <c r="J19" s="822">
        <f t="shared" si="7"/>
        <v>0</v>
      </c>
      <c r="K19" s="820">
        <f t="shared" si="7"/>
        <v>0</v>
      </c>
      <c r="L19" s="823">
        <f t="shared" si="7"/>
        <v>0</v>
      </c>
      <c r="M19" s="820">
        <f t="shared" si="7"/>
        <v>0</v>
      </c>
      <c r="N19" s="821">
        <f t="shared" si="7"/>
        <v>565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2806</v>
      </c>
      <c r="Z19" s="827">
        <f t="shared" si="8"/>
        <v>571</v>
      </c>
      <c r="AA19" s="828">
        <f t="shared" si="8"/>
        <v>2477</v>
      </c>
      <c r="AB19" s="828">
        <f t="shared" si="8"/>
        <v>0</v>
      </c>
      <c r="AC19" s="828">
        <f t="shared" si="8"/>
        <v>0</v>
      </c>
      <c r="AD19" s="829">
        <f t="shared" si="8"/>
        <v>0</v>
      </c>
      <c r="AE19" s="829">
        <f t="shared" si="8"/>
        <v>7108</v>
      </c>
      <c r="AF19" s="830">
        <f t="shared" si="8"/>
        <v>0</v>
      </c>
      <c r="AG19" s="831">
        <f t="shared" si="8"/>
        <v>0</v>
      </c>
      <c r="AH19" s="832">
        <f t="shared" si="8"/>
        <v>0</v>
      </c>
      <c r="AI19" s="830">
        <f t="shared" si="8"/>
        <v>0</v>
      </c>
      <c r="AJ19" s="820">
        <f t="shared" si="8"/>
        <v>874</v>
      </c>
      <c r="AK19" s="820">
        <f t="shared" si="8"/>
        <v>2925</v>
      </c>
      <c r="AL19" s="820">
        <f t="shared" si="8"/>
        <v>0</v>
      </c>
      <c r="AM19" s="833">
        <f t="shared" si="8"/>
        <v>0</v>
      </c>
      <c r="AN19" s="823">
        <f>IF(ISNUMBER(Datos!K19/Datos!J19),Datos!K19/Datos!J19," - ")</f>
        <v>1.1703810208483105</v>
      </c>
      <c r="AO19" s="823">
        <f>IF(ISNUMBER(FIND("06",Criterios!A8,1)),(IF(ISNUMBER(((Datos!R19/Datos!Q19)*11)/factor_trimestre),((Datos!R19/Datos!Q19)*11)/factor_trimestre," - ")),(IF(ISNUMBER(((Datos!L19/Datos!K19)*11)/factor_trimestre),((Datos!L19/Datos!K19)*11)/factor_trimestre," - ")))</f>
        <v>5.7303439803439806</v>
      </c>
      <c r="AP19" s="834" t="str">
        <f>IF(ISNUMBER(Datos!CI19/Datos!CJ19),Datos!CI19/Datos!CJ19," - ")</f>
        <v xml:space="preserve"> - </v>
      </c>
      <c r="AQ19" s="834">
        <f>IF(OR(ISNUMBER(FIND("01",Criterios!A8,1)),ISNUMBER(FIND("02",Criterios!A8,1)),ISNUMBER(FIND("03",Criterios!A8,1)),ISNUMBER(FIND("04",Criterios!A8,1))),(J19-Y19+K19)/(F19-K19),(I19-Y19+K19)/(F19-K19))</f>
        <v>-1.1179282868525897</v>
      </c>
      <c r="AR19" s="834">
        <f>IF(ISNUMBER((Datos!P19-Datos!Q19+O19)/(Datos!R19-Datos!P19+Datos!Q19-O19)),(Datos!P19-Datos!Q19+O19)/(Datos!R19-Datos!P19+Datos!Q19-O19)," - ")</f>
        <v>-8.4340736575766093E-4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1220.5184690668689</v>
      </c>
      <c r="G21" s="552">
        <f>IF(ISNUMBER(STDEV(G8:G18)),STDEV(G8:G18),"-")</f>
        <v>1199.5042726059794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227.35229637429808</v>
      </c>
      <c r="AK21" s="252"/>
      <c r="AL21" s="252">
        <f>IF(ISNUMBER(STDEV(AL8:AL18)),STDEV(AL8:AL18),"-")</f>
        <v>0</v>
      </c>
      <c r="AM21" s="254">
        <f>IF(ISNUMBER(STDEV(AM8:AM18)),STDEV(AM8:AM18),"-")</f>
        <v>0</v>
      </c>
      <c r="AN21" s="539">
        <f>IF(ISNUMBER(STDEV(AN8:AN18)),STDEV(AN8:AN18),"-")</f>
        <v>0</v>
      </c>
      <c r="AO21" s="540">
        <f>IF(ISNUMBER(STDEV(AO8:AO18)),STDEV(AO8:AO18),"-")</f>
        <v>10.303334500590866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b/ThAS4Ub1MELH5BzoRFc6ewC1wc5bZ3Ff8o6z4sd6rzql3m4sitTQZp25s2GS3Uey9ttErmh2y2NRzAYpuQ==" saltValue="+H4RHEtIqiffzPJ5dqRc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BTeleYc0Et+p/6dXyI6kdqyMx1HB0VikbbMiS2Z685aqy9KUIkh7zQTsjKyF7D5ZODvPSvtAspVPmXGW/EVBQ==" saltValue="C2SeHbHVK4F3/qG6EOrU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f3E703zi8g2eWNka/s8dEnrBqKHR5zB9dR4zv/aU1ftt606i1wU4CmS4EY8dscJ6mXiGDb+WlllzTNySGx4QA==" saltValue="WpPNwQj4kkus12zlv3rC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MANACOR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0.2496570644718793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0.17653420325919295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hAoDOq1eJKjvpEuMoQ4bS467rWIs5EbFm6LCjQK1jitRy9hqP5pcyMwe8n5+2O9+LKetNJSKWUfT0LafZkDZQ==" saltValue="vf/ll19ejXaOLWUVcXlf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lg7vjULEPFEIECNeARxngvdmdYjyyn6esb6106Etwv6mBetYH/CfkekUaXpQmExtOEa18GIJW6lNw6Ts13f1w==" saltValue="zuYg+srNh6Kse8hWROTm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MANACOR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7564</v>
      </c>
      <c r="D9" s="404">
        <f>IF(ISNUMBER(C9/Datos!BH9),C9/Datos!BH9," - ")</f>
        <v>1512.8</v>
      </c>
      <c r="E9" s="403">
        <f>IF(ISNUMBER(IF(J_V="SI",Datos!J9,Datos!J9+Datos!Z9)),IF(J_V="SI",Datos!J9,Datos!J9+Datos!Z9)," - ")</f>
        <v>1660</v>
      </c>
      <c r="F9" s="404">
        <f>IF(ISNUMBER(E9/B9),E9/B9," - ")</f>
        <v>332</v>
      </c>
      <c r="G9" s="403">
        <f>IF(ISNUMBER(IF(J_V="SI",Datos!K9,Datos!K9+Datos!AA9)),IF(J_V="SI",Datos!K9,Datos!K9+Datos!AA9)," - ")</f>
        <v>2165</v>
      </c>
      <c r="H9" s="404">
        <f>IF(ISNUMBER(G9/B9),G9/B9," - ")</f>
        <v>433</v>
      </c>
      <c r="I9" s="403">
        <f>IF(ISNUMBER(IF(J_V="SI",Datos!L9,Datos!L9+Datos!AB9)),IF(J_V="SI",Datos!L9,Datos!L9+Datos!AB9)," - ")</f>
        <v>7059</v>
      </c>
      <c r="J9" s="404">
        <f>IF(ISNUMBER(I9/B9),I9/B9," - ")</f>
        <v>1411.8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198</v>
      </c>
      <c r="D10" s="404">
        <f>IF(ISNUMBER(C10/Datos!BH10),C10/Datos!BH10," - ")</f>
        <v>198</v>
      </c>
      <c r="E10" s="403">
        <f>IF(ISNUMBER(Datos!J10),Datos!J10," - ")</f>
        <v>34</v>
      </c>
      <c r="F10" s="404">
        <f>IF(ISNUMBER(E10/B10),E10/B10," - ")</f>
        <v>34</v>
      </c>
      <c r="G10" s="403">
        <f>IF(ISNUMBER(Datos!K10),Datos!K10," - ")</f>
        <v>22</v>
      </c>
      <c r="H10" s="404">
        <f>IF(ISNUMBER(G10/B10),G10/B10," - ")</f>
        <v>22</v>
      </c>
      <c r="I10" s="403">
        <f>IF(ISNUMBER(Datos!L10),Datos!L10," - ")</f>
        <v>210</v>
      </c>
      <c r="J10" s="404">
        <f>IF(ISNUMBER(I10/B10),I10/B10," - ")</f>
        <v>210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7762</v>
      </c>
      <c r="D13" s="850" t="str">
        <f>IF(ISNUMBER(C13/Datos!BI13),C13/Datos!BI13," - ")</f>
        <v xml:space="preserve"> - </v>
      </c>
      <c r="E13" s="849">
        <f>SUBTOTAL(9,E8:E12)</f>
        <v>1694</v>
      </c>
      <c r="F13" s="850">
        <f>IF(ISNUMBER(E13/B13),E13/B13," - ")</f>
        <v>338.8</v>
      </c>
      <c r="G13" s="849">
        <f>SUBTOTAL(9,G8:G12)</f>
        <v>2187</v>
      </c>
      <c r="H13" s="850">
        <f>IF(ISNUMBER(G13/B13),G13/B13," - ")</f>
        <v>437.4</v>
      </c>
      <c r="I13" s="849">
        <f>SUBTOTAL(9,I8:I12)</f>
        <v>7269</v>
      </c>
      <c r="J13" s="850">
        <f>IF(ISNUMBER(I13/B13),I13/B13," - ")</f>
        <v>1453.8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2294</v>
      </c>
      <c r="D15" s="404">
        <f>IF(ISNUMBER(C15/Datos!BH15),C15/Datos!BH15," - ")</f>
        <v>764.66666666666663</v>
      </c>
      <c r="E15" s="403">
        <f>IF(ISNUMBER(IF(D_I="SI",Datos!J15,Datos!J15+Datos!AD15)),IF(D_I="SI",Datos!J15,Datos!J15+Datos!AD15)," - ")</f>
        <v>2286</v>
      </c>
      <c r="F15" s="404">
        <f>IF(ISNUMBER(E15/B15),E15/B15," - ")</f>
        <v>762</v>
      </c>
      <c r="G15" s="403">
        <f>IF(ISNUMBER(IF(D_I="SI",Datos!K15,Datos!K15+Datos!AE15)),IF(D_I="SI",Datos!K15,Datos!K15+Datos!AE15)," - ")</f>
        <v>2466</v>
      </c>
      <c r="H15" s="404">
        <f>IF(ISNUMBER(G15/B15),G15/B15," - ")</f>
        <v>822</v>
      </c>
      <c r="I15" s="403">
        <f>IF(ISNUMBER(IF(D_I="SI",Datos!L15,Datos!L15+Datos!AF15)),IF(D_I="SI",Datos!L15,Datos!L15+Datos!AF15)," - ")</f>
        <v>2132</v>
      </c>
      <c r="J15" s="404">
        <f>IF(ISNUMBER(I15/B15),I15/B15," - ")</f>
        <v>710.66666666666663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153</v>
      </c>
      <c r="D17" s="404">
        <f>IF(ISNUMBER(C17/Datos!BH17),C17/Datos!BH17," - ")</f>
        <v>153</v>
      </c>
      <c r="E17" s="403">
        <f>IF(ISNUMBER(IF(D_I="SI",Datos!J17,Datos!J17+Datos!AD17)),IF(D_I="SI",Datos!J17,Datos!J17+Datos!AD17)," - ")</f>
        <v>300</v>
      </c>
      <c r="F17" s="404">
        <f>IF(ISNUMBER(E17/B17),E17/B17," - ")</f>
        <v>300</v>
      </c>
      <c r="G17" s="403">
        <f>IF(ISNUMBER(IF(D_I="SI",Datos!K17,Datos!K17+Datos!AE17)),IF(D_I="SI",Datos!K17,Datos!K17+Datos!AE17)," - ")</f>
        <v>318</v>
      </c>
      <c r="H17" s="404">
        <f>IF(ISNUMBER(G17/B17),G17/B17," - ")</f>
        <v>318</v>
      </c>
      <c r="I17" s="403">
        <f>IF(ISNUMBER(IF(D_I="SI",Datos!L17,Datos!L17+Datos!AF17)),IF(D_I="SI",Datos!L17,Datos!L17+Datos!AF17)," - ")</f>
        <v>135</v>
      </c>
      <c r="J17" s="404">
        <f>IF(ISNUMBER(I17/B17),I17/B17," - ")</f>
        <v>135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2447</v>
      </c>
      <c r="D18" s="850" t="str">
        <f>IF(ISNUMBER(C18/Datos!BI18),C18/Datos!BI18," - ")</f>
        <v xml:space="preserve"> - </v>
      </c>
      <c r="E18" s="849">
        <f>SUBTOTAL(9,E14:E17)</f>
        <v>2586</v>
      </c>
      <c r="F18" s="850">
        <f>IF(ISNUMBER(E18/B18),E18/B18," - ")</f>
        <v>862</v>
      </c>
      <c r="G18" s="849">
        <f>SUBTOTAL(9,G14:G17)</f>
        <v>2784</v>
      </c>
      <c r="H18" s="850">
        <f>IF(ISNUMBER(G18/B18),G18/B18," - ")</f>
        <v>928</v>
      </c>
      <c r="I18" s="849">
        <f>SUBTOTAL(9,I14:I17)</f>
        <v>2267</v>
      </c>
      <c r="J18" s="850">
        <f>IF(ISNUMBER(I18/B18),I18/B18," - ")</f>
        <v>755.66666666666663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10209</v>
      </c>
      <c r="D19" s="795" t="str">
        <f>IF(ISNUMBER(C19/Datos!BI19),C19/Datos!BI19," - ")</f>
        <v xml:space="preserve"> - </v>
      </c>
      <c r="E19" s="794">
        <f>SUBTOTAL(9,E9:E18)</f>
        <v>4280</v>
      </c>
      <c r="F19" s="795">
        <f>IF(ISNUMBER(E19/B19),E19/B19," - ")</f>
        <v>535</v>
      </c>
      <c r="G19" s="794">
        <f>SUBTOTAL(9,G9:G18)</f>
        <v>4971</v>
      </c>
      <c r="H19" s="795">
        <f>IF(ISNUMBER(G19/B19),G19/B19," - ")</f>
        <v>621.375</v>
      </c>
      <c r="I19" s="794">
        <f>SUBTOTAL(9,I9:I18)</f>
        <v>9536</v>
      </c>
      <c r="J19" s="795">
        <f>IF(ISNUMBER(I19/B19),I19/B19," - ")</f>
        <v>1192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56Zd2tBMUYbZEq+0B8vQNw5sRm093N3TqMDd7XuBzsy+kWvGvT/kCQ9IGqJVEPWGmKRGqBmMRQMZmyEZK4hHvg==" saltValue="xv1s3FOHD8XgLODBtViz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MANACOR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198</v>
      </c>
      <c r="G10" s="684">
        <f>IF(ISNUMBER(Datos!I10),Datos!I10," - ")</f>
        <v>198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210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28.636363636363637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198</v>
      </c>
      <c r="G13" s="938">
        <f t="shared" si="0"/>
        <v>198</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210</v>
      </c>
      <c r="AG13" s="939">
        <f t="shared" si="1"/>
        <v>0</v>
      </c>
      <c r="AH13" s="939">
        <f t="shared" si="1"/>
        <v>0</v>
      </c>
      <c r="AI13" s="939">
        <f t="shared" si="1"/>
        <v>0</v>
      </c>
      <c r="AJ13" s="939">
        <f t="shared" si="1"/>
        <v>0</v>
      </c>
      <c r="AK13" s="939">
        <f t="shared" si="1"/>
        <v>0</v>
      </c>
      <c r="AL13" s="939">
        <f t="shared" si="1"/>
        <v>10</v>
      </c>
      <c r="AM13" s="939">
        <f t="shared" si="1"/>
        <v>6</v>
      </c>
      <c r="AN13" s="939">
        <f t="shared" si="1"/>
        <v>0</v>
      </c>
      <c r="AO13" s="939">
        <f t="shared" si="1"/>
        <v>0</v>
      </c>
      <c r="AP13" s="944">
        <f>IF(ISNUMBER(((Datos!L13/Datos!K13)*11)/factor_trimestre),((Datos!L13/Datos!K13)*11)/factor_trimestre," - ")</f>
        <v>10.088571428571429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2.4428879310344831</v>
      </c>
      <c r="AQ18" s="944">
        <f>IF(ISNUMBER(((Datos!M18/Datos!L18)*11)/factor_trimestre),((Datos!M18/Datos!L18)*11)/factor_trimestre," - ")</f>
        <v>0.43405381561535067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5.6338028169014086E-2</v>
      </c>
      <c r="AW18" s="946">
        <f>IF(ISNUMBER((Datos!Q18-Datos!R18)/(Datos!S18-Datos!Q18+Datos!R18)),(Datos!Q18-Datos!R18)/(Datos!S18-Datos!Q18+Datos!R18)," - ")</f>
        <v>-6.0658578856152515E-2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198</v>
      </c>
      <c r="G19" s="951">
        <f t="shared" si="4"/>
        <v>198</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210</v>
      </c>
      <c r="AG19" s="958">
        <f t="shared" si="5"/>
        <v>0</v>
      </c>
      <c r="AH19" s="958">
        <f t="shared" si="5"/>
        <v>0</v>
      </c>
      <c r="AI19" s="958">
        <f t="shared" si="5"/>
        <v>0</v>
      </c>
      <c r="AJ19" s="959">
        <f t="shared" si="5"/>
        <v>0</v>
      </c>
      <c r="AK19" s="959">
        <f t="shared" si="5"/>
        <v>0</v>
      </c>
      <c r="AL19" s="951">
        <f t="shared" si="5"/>
        <v>10</v>
      </c>
      <c r="AM19" s="951">
        <f t="shared" si="5"/>
        <v>6</v>
      </c>
      <c r="AN19" s="951">
        <f t="shared" si="5"/>
        <v>0</v>
      </c>
      <c r="AO19" s="951">
        <f t="shared" si="5"/>
        <v>0</v>
      </c>
      <c r="AP19" s="951">
        <f>IF(ISNUMBER(((Datos!L19/Datos!K19)*11)/factor_trimestre),((Datos!L19/Datos!K19)*11)/factor_trimestre," - ")</f>
        <v>5.7303439803439806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-8.4340736575766093E-4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114.3153532995459</v>
      </c>
      <c r="G21" s="737">
        <f>IF(ISNUMBER(STDEV(G8:G18)),STDEV(G8:G18),"-")</f>
        <v>114.3153532995459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13.469565951022169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FYS0rU+KoSqHLpCm5oY8EmlDpeSEu/1IrrqB5gH7FI4pyrGml0onuFsaK6c53dhJY1CXXqmuOdygaAAA9UPDg==" saltValue="2bt3q9YzuxI3XtFqTSCb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MANACOR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IW2k/NSsmEiej1esNthQ1CU4ge5EiaLhDCKR5Ks/zR87rRY0jVNS6ujtWjh09om6D44Yqcds2ojm5JKLWkejg==" saltValue="ntcqCN7a/yjdyUrQmMxl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MANACOR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536</v>
      </c>
      <c r="E9" s="404">
        <f t="shared" ref="E9:E13" si="0">IF(ISNUMBER(D9/B9),D9/B9," - ")</f>
        <v>107.2</v>
      </c>
      <c r="F9" s="403">
        <f>IF(ISNUMBER(Datos!N9),Datos!N9," - ")</f>
        <v>1042</v>
      </c>
      <c r="G9" s="404">
        <f t="shared" ref="G9:G13" si="1">IF(ISNUMBER(F9/B9),F9/B9," - ")</f>
        <v>208.4</v>
      </c>
      <c r="H9" s="403">
        <f>IF(ISNUMBER(Datos!O9),Datos!O9," - ")</f>
        <v>755</v>
      </c>
      <c r="I9" s="404">
        <f>IF(ISNUMBER(H9/B9),H9/B9," - ")</f>
        <v>151</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6</v>
      </c>
      <c r="G10" s="404">
        <f>IF(ISNUMBER(F10/B10),F10/B10," - ")</f>
        <v>6</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5</v>
      </c>
      <c r="C13" s="851">
        <f>Datos!AR13</f>
        <v>5</v>
      </c>
      <c r="D13" s="849">
        <f>SUBTOTAL(9,D9:D12)</f>
        <v>546</v>
      </c>
      <c r="E13" s="850">
        <f t="shared" si="0"/>
        <v>109.2</v>
      </c>
      <c r="F13" s="849">
        <f>SUBTOTAL(9,F9:F12)</f>
        <v>1048</v>
      </c>
      <c r="G13" s="850">
        <f t="shared" si="1"/>
        <v>209.6</v>
      </c>
      <c r="H13" s="849">
        <f>SUBTOTAL(9,H9:H12)</f>
        <v>757</v>
      </c>
      <c r="I13" s="850">
        <f>IF(ISNUMBER(H13/B13),H13/B13," - ")</f>
        <v>151.4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266</v>
      </c>
      <c r="E15" s="404">
        <f t="shared" ref="E15:E18" si="3">IF(ISNUMBER(D15/B15),D15/B15," - ")</f>
        <v>88.666666666666671</v>
      </c>
      <c r="F15" s="403">
        <f>IF(ISNUMBER(Datos!N15),Datos!N15," - ")</f>
        <v>1632</v>
      </c>
      <c r="G15" s="404">
        <f t="shared" ref="G15:G18" si="4">IF(ISNUMBER(F15/B15),F15/B15," - ")</f>
        <v>544</v>
      </c>
      <c r="H15" s="403">
        <f>IF(ISNUMBER(Datos!O15),Datos!O15," - ")</f>
        <v>10</v>
      </c>
      <c r="I15" s="404">
        <f t="shared" ref="I15:I17" si="5">IF(ISNUMBER(H15/B15),H15/B15," - ")</f>
        <v>3.3333333333333335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62</v>
      </c>
      <c r="E17" s="404">
        <f>IF(ISNUMBER(D17/B17),D17/B17," - ")</f>
        <v>62</v>
      </c>
      <c r="F17" s="403">
        <f>IF(ISNUMBER(Datos!N17),Datos!N17," - ")</f>
        <v>245</v>
      </c>
      <c r="G17" s="404">
        <f>IF(ISNUMBER(F17/B17),F17/B17," - ")</f>
        <v>245</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328</v>
      </c>
      <c r="E18" s="850">
        <f t="shared" si="3"/>
        <v>109.33333333333333</v>
      </c>
      <c r="F18" s="849">
        <f>SUBTOTAL(9,F15:F17)</f>
        <v>1877</v>
      </c>
      <c r="G18" s="850">
        <f t="shared" si="4"/>
        <v>625.66666666666663</v>
      </c>
      <c r="H18" s="849">
        <f>SUBTOTAL(9,H15:H17)</f>
        <v>10</v>
      </c>
      <c r="I18" s="850">
        <f>IF(ISNUMBER(H18/B18),H18/B18," - ")</f>
        <v>3.3333333333333335</v>
      </c>
      <c r="BZ18" s="1186"/>
    </row>
    <row r="19" spans="1:78" ht="14.25" thickTop="1" thickBot="1">
      <c r="A19" s="793" t="str">
        <f>Datos!A19</f>
        <v>TOTAL JURISDICCIONES</v>
      </c>
      <c r="B19" s="794">
        <f>Datos!AP19</f>
        <v>8</v>
      </c>
      <c r="C19" s="794">
        <f>Datos!AR19</f>
        <v>8</v>
      </c>
      <c r="D19" s="794">
        <f>SUBTOTAL(9,D8:D18)</f>
        <v>874</v>
      </c>
      <c r="E19" s="795">
        <f>IF(ISNUMBER(D19/B19),D19/B19," - ")</f>
        <v>109.25</v>
      </c>
      <c r="F19" s="794">
        <f>SUBTOTAL(9,F8:F18)</f>
        <v>2925</v>
      </c>
      <c r="G19" s="795">
        <f>IF(ISNUMBER(F19/B19),F19/B19," - ")</f>
        <v>365.625</v>
      </c>
      <c r="H19" s="794">
        <f>SUBTOTAL(9,H8:H18)</f>
        <v>767</v>
      </c>
      <c r="I19" s="795">
        <f>IF(ISNUMBER(H19/B19),H19/B19," - ")</f>
        <v>95.875</v>
      </c>
    </row>
    <row r="22" spans="1:78">
      <c r="A22" s="391" t="str">
        <f>Criterios!A4</f>
        <v>Fecha Informe: 24 sep. 2025</v>
      </c>
    </row>
    <row r="27" spans="1:78">
      <c r="A27" s="414"/>
    </row>
  </sheetData>
  <sheetProtection algorithmName="SHA-512" hashValue="FMNwGXOuIaDQQNLVjYp5v2sYEXARmi4bOnZtoEwq3ASek7LYcqgloosQWJr5mVvrOUXcqgMQcH5erJVRbNdAiw==" saltValue="p6iIXnqjqQxiorFnSGTV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MANACOR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545</v>
      </c>
      <c r="C9" s="434">
        <f>IF(ISNUMBER(Datos!Q9),Datos!Q9," - ")</f>
        <v>561</v>
      </c>
      <c r="D9" s="408">
        <f>IF(ISNUMBER(Datos!R9),Datos!R9," - ")</f>
        <v>6883</v>
      </c>
    </row>
    <row r="10" spans="1:4">
      <c r="A10" s="402" t="str">
        <f>Datos!A10</f>
        <v>Jdos. Violencia contra la mujer</v>
      </c>
      <c r="B10" s="433">
        <f>IF(ISNUMBER(Datos!P10),Datos!P10," - ")</f>
        <v>2</v>
      </c>
      <c r="C10" s="434">
        <f>IF(ISNUMBER(Datos!Q10),Datos!Q10," - ")</f>
        <v>0</v>
      </c>
      <c r="D10" s="408">
        <f>IF(ISNUMBER(Datos!R10),Datos!R10," - ")</f>
        <v>75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547</v>
      </c>
      <c r="C13" s="853">
        <f>SUBTOTAL(9,C9:C12)</f>
        <v>561</v>
      </c>
      <c r="D13" s="851">
        <f>SUBTOTAL(9,D9:D12)</f>
        <v>6958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18</v>
      </c>
      <c r="C15" s="434">
        <f>IF(ISNUMBER(Datos!Q15),Datos!Q15," - ")</f>
        <v>10</v>
      </c>
      <c r="D15" s="408">
        <f>IF(ISNUMBER(Datos!R15),Datos!R15," - ")</f>
        <v>138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12</v>
      </c>
    </row>
    <row r="18" spans="1:4" ht="14.25" thickTop="1" thickBot="1">
      <c r="A18" s="848" t="str">
        <f>Datos!A18</f>
        <v>TOTAL</v>
      </c>
      <c r="B18" s="849">
        <f>SUBTOTAL(9,B15:B17)</f>
        <v>18</v>
      </c>
      <c r="C18" s="853">
        <f>SUBTOTAL(9,C15:C17)</f>
        <v>10</v>
      </c>
      <c r="D18" s="851">
        <f>SUBTOTAL(9,D15:D17)</f>
        <v>150</v>
      </c>
    </row>
    <row r="19" spans="1:4" ht="16.5" customHeight="1" thickTop="1" thickBot="1">
      <c r="A19" s="793" t="str">
        <f>Datos!A19</f>
        <v>TOTAL JURISDICCIONES</v>
      </c>
      <c r="B19" s="798">
        <f>SUBTOTAL(9,B8:B18)</f>
        <v>565</v>
      </c>
      <c r="C19" s="799">
        <f>SUBTOTAL(9,C8:C18)</f>
        <v>571</v>
      </c>
      <c r="D19" s="800">
        <f>SUBTOTAL(9,D8:D18)</f>
        <v>7108</v>
      </c>
    </row>
    <row r="20" spans="1:4" ht="7.5" customHeight="1"/>
    <row r="21" spans="1:4" ht="6" customHeight="1"/>
    <row r="22" spans="1:4">
      <c r="A22" s="391" t="str">
        <f>Criterios!A4</f>
        <v>Fecha Informe: 24 sep. 2025</v>
      </c>
    </row>
    <row r="27" spans="1:4">
      <c r="A27" s="414"/>
    </row>
  </sheetData>
  <sheetProtection algorithmName="SHA-512" hashValue="z4AlfAf+tOuLeffsJjMp5UyuEbrYCAc+nfaxcP5moL7/X1O9VyugldK59NjrKLhz36mxZhw3YxvAV7GosrzZdw==" saltValue="iLGb/Sga0TXd2R20IE8i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MANACOR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0.50557324840764328</v>
      </c>
      <c r="C9" s="456">
        <f>IF(ISNUMBER(
   IF(J_V="SI",(Datos!J9-Datos!T9)/Datos!T9,(Datos!J9+Datos!Z9-(Datos!T9+Datos!AH9))/(Datos!T9+Datos!AH9))
     ),IF(J_V="SI",(Datos!J9-Datos!T9)/Datos!T9,(Datos!J9+Datos!Z9-(Datos!T9+Datos!AH9))/(Datos!T9+Datos!AH9))," - ")</f>
        <v>-0.23219241443108232</v>
      </c>
      <c r="D9" s="456">
        <f>IF(ISNUMBER(
   IF(J_V="SI",(Datos!K9-Datos!U9)/Datos!U9,(Datos!K9+Datos!AA9-(Datos!U9+Datos!AI9))/(Datos!U9+Datos!AI9))
     ),IF(J_V="SI",(Datos!K9-Datos!U9)/Datos!U9,(Datos!K9+Datos!AA9-(Datos!U9+Datos!AI9))/(Datos!U9+Datos!AI9))," - ")</f>
        <v>0.18241398143091206</v>
      </c>
      <c r="E9" s="456">
        <f>IF(ISNUMBER(
   IF(J_V="SI",(Datos!L9-Datos!V9)/Datos!V9,(Datos!L9+Datos!AB9-(Datos!V9+Datos!AJ9))/(Datos!V9+Datos!AJ9))
     ),IF(J_V="SI",(Datos!L9-Datos!V9)/Datos!V9,(Datos!L9+Datos!AB9-(Datos!V9+Datos!AJ9))/(Datos!V9+Datos!AJ9))," - ")</f>
        <v>0.31820728291316525</v>
      </c>
      <c r="F9" s="456">
        <f>IF(ISNUMBER((Datos!M9-Datos!W9)/Datos!W9),(Datos!M9-Datos!W9)/Datos!W9," - ")</f>
        <v>6.7729083665338641E-2</v>
      </c>
      <c r="G9" s="457">
        <f>IF(ISNUMBER((Datos!N9-Datos!X9)/Datos!X9),(Datos!N9-Datos!X9)/Datos!X9," - ")</f>
        <v>0.60554699537750389</v>
      </c>
      <c r="H9" s="455">
        <f>IF(ISNUMBER(((NºAsuntos!G9/NºAsuntos!E9)-Datos!BD9)/Datos!BD9),((NºAsuntos!G9/NºAsuntos!E9)-Datos!BD9)/Datos!BD9," - ")</f>
        <v>0.5399873661768867</v>
      </c>
      <c r="I9" s="456">
        <f>IF(ISNUMBER(((NºAsuntos!I9/NºAsuntos!G9)-Datos!BE9)/Datos!BE9),((NºAsuntos!I9/NºAsuntos!G9)-Datos!BE9)/Datos!BE9," - ")</f>
        <v>0.11484412702725427</v>
      </c>
      <c r="J9" s="461">
        <f>IF(ISNUMBER((('Resol  Asuntos'!D9/NºAsuntos!G9)-Datos!BF9)/Datos!BF9),(('Resol  Asuntos'!D9/NºAsuntos!G9)-Datos!BF9)/Datos!BF9," - ")</f>
        <v>-0.30152553048392094</v>
      </c>
      <c r="K9" s="462">
        <f>IF(ISNUMBER((((NºAsuntos!C9+NºAsuntos!E9)/NºAsuntos!G9)-Datos!BG9)/Datos!BG9),(((NºAsuntos!C9+NºAsuntos!E9)/NºAsuntos!G9)-Datos!BG9)/Datos!BG9," - ")</f>
        <v>8.5581728392839881E-2</v>
      </c>
    </row>
    <row r="10" spans="1:11">
      <c r="A10" s="402" t="str">
        <f>Datos!A10</f>
        <v>Jdos. Violencia contra la mujer</v>
      </c>
      <c r="B10" s="455">
        <f>IF(ISNUMBER((Datos!I10-Datos!S10)/Datos!S10),(Datos!I10-Datos!S10)/Datos!S10," - ")</f>
        <v>0.22222222222222221</v>
      </c>
      <c r="C10" s="456">
        <f>IF(ISNUMBER((Datos!J10-Datos!T10)/Datos!T10),(Datos!J10-Datos!T10)/Datos!T10," - ")</f>
        <v>-8.1081081081081086E-2</v>
      </c>
      <c r="D10" s="456">
        <f>IF(ISNUMBER((Datos!K10-Datos!U10)/Datos!U10),(Datos!K10-Datos!U10)/Datos!U10," - ")</f>
        <v>-0.18518518518518517</v>
      </c>
      <c r="E10" s="456">
        <f>IF(ISNUMBER((Datos!L10-Datos!V10)/Datos!V10),(Datos!L10-Datos!V10)/Datos!V10," - ")</f>
        <v>0.22093023255813954</v>
      </c>
      <c r="F10" s="456">
        <f>IF(ISNUMBER((Datos!M10-Datos!W10)/Datos!W10),(Datos!M10-Datos!W10)/Datos!W10," - ")</f>
        <v>-0.16666666666666666</v>
      </c>
      <c r="G10" s="457">
        <f>IF(ISNUMBER((Datos!N10-Datos!X10)/Datos!X10),(Datos!N10-Datos!X10)/Datos!X10," - ")</f>
        <v>-0.25</v>
      </c>
      <c r="H10" s="455">
        <f>IF(ISNUMBER(((NºAsuntos!G10/NºAsuntos!E10)-Datos!BD10)/Datos!BD10),((NºAsuntos!G10/NºAsuntos!E10)-Datos!BD10)/Datos!BD10," - ")</f>
        <v>-0.11328976034858382</v>
      </c>
      <c r="I10" s="456">
        <f>IF(ISNUMBER(((NºAsuntos!I10/NºAsuntos!G10)-Datos!BE10)/Datos!BE10),((NºAsuntos!I10/NºAsuntos!G10)-Datos!BE10)/Datos!BE10," - ")</f>
        <v>0.49841437632135305</v>
      </c>
      <c r="J10" s="461">
        <f>IF(ISNUMBER((('Resol  Asuntos'!D10/NºAsuntos!G10)-Datos!BF10)/Datos!BF10),(('Resol  Asuntos'!D10/NºAsuntos!G10)-Datos!BF10)/Datos!BF10," - ")</f>
        <v>2.2727272727272749E-2</v>
      </c>
      <c r="K10" s="462">
        <f>IF(ISNUMBER((((NºAsuntos!C10+NºAsuntos!E10)/NºAsuntos!G10)-Datos!BG10)/Datos!BG10),(((NºAsuntos!C10+NºAsuntos!E10)/NºAsuntos!G10)-Datos!BG10)/Datos!BG10," - ")</f>
        <v>0.43079031521242572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0.4967219436945623</v>
      </c>
      <c r="C13" s="855">
        <f>IF(ISNUMBER(
   IF(J_V="SI",(Datos!J13-Datos!T13)/Datos!T13,(Datos!J13+Datos!Z13-(Datos!T13+Datos!AH13))/(Datos!T13+Datos!AH13))
     ),IF(J_V="SI",(Datos!J13-Datos!T13)/Datos!T13,(Datos!J13+Datos!Z13-(Datos!T13+Datos!AH13))/(Datos!T13+Datos!AH13))," - ")</f>
        <v>-0.22964984083674397</v>
      </c>
      <c r="D13" s="855">
        <f>IF(ISNUMBER(
   IF(J_V="SI",(Datos!K13-Datos!U13)/Datos!U13,(Datos!K13+Datos!AA13-(Datos!U13+Datos!AI13))/(Datos!U13+Datos!AI13))
     ),IF(J_V="SI",(Datos!K13-Datos!U13)/Datos!U13,(Datos!K13+Datos!AA13-(Datos!U13+Datos!AI13))/(Datos!U13+Datos!AI13))," - ")</f>
        <v>0.17707212055974167</v>
      </c>
      <c r="E13" s="855">
        <f>IF(ISNUMBER(
   IF(J_V="SI",(Datos!L13-Datos!V13)/Datos!V13,(Datos!L13+Datos!AB13-(Datos!V13+Datos!AJ13))/(Datos!V13+Datos!AJ13))
     ),IF(J_V="SI",(Datos!L13-Datos!V13)/Datos!V13,(Datos!L13+Datos!AB13-(Datos!V13+Datos!AJ13))/(Datos!V13+Datos!AJ13))," - ")</f>
        <v>0.31518002533019723</v>
      </c>
      <c r="F13" s="856">
        <f>IF(ISNUMBER((Datos!M13-Datos!W13)/Datos!W13),(Datos!M13-Datos!W13)/Datos!W13," - ")</f>
        <v>6.2256809338521402E-2</v>
      </c>
      <c r="G13" s="857">
        <f>IF(ISNUMBER((Datos!N13-Datos!X13)/Datos!X13),(Datos!N13-Datos!X13)/Datos!X13," - ")</f>
        <v>0.59512937595129378</v>
      </c>
      <c r="H13" s="857">
        <f>IF(ISNUMBER(((NºAsuntos!G13/NºAsuntos!E13)-Datos!BD13)/Datos!BD13),((NºAsuntos!G13/NºAsuntos!E13)-Datos!BD13)/Datos!BD13," - ")</f>
        <v>0.52797024386710267</v>
      </c>
      <c r="I13" s="857">
        <f>IF(ISNUMBER(((NºAsuntos!I13/NºAsuntos!G13)-Datos!BE13)/Datos!BE13),((NºAsuntos!I13/NºAsuntos!G13)-Datos!BE13)/Datos!BE13," - ")</f>
        <v>0.11733172705235768</v>
      </c>
      <c r="J13" s="857">
        <f>IF(ISNUMBER((('Resol  Asuntos'!D13/NºAsuntos!G13)-Datos!BF13)/Datos!BF13),(('Resol  Asuntos'!D13/NºAsuntos!G13)-Datos!BF13)/Datos!BF13," - ")</f>
        <v>-0.29824080818645726</v>
      </c>
      <c r="K13" s="857">
        <f>IF(ISNUMBER((((NºAsuntos!C13+NºAsuntos!E13)/NºAsuntos!G13)-Datos!BG13)/Datos!BG13),(((NºAsuntos!C13+NºAsuntos!E13)/NºAsuntos!G13)-Datos!BG13)/Datos!BG13," - ")</f>
        <v>8.7812113123680452E-2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0.13902681231380337</v>
      </c>
      <c r="C15" s="456">
        <f>IF(ISNUMBER(
   IF(D_I="SI",(Datos!J15-Datos!T15)/Datos!T15,(Datos!J15+Datos!AD15-(Datos!T15+Datos!AL15))/(Datos!T15+Datos!AL15))
     ),IF(D_I="SI",(Datos!J15-Datos!T15)/Datos!T15,(Datos!J15+Datos!AD15-(Datos!T15+Datos!AL15))/(Datos!T15+Datos!AL15))," - ")</f>
        <v>8.2899099952629091E-2</v>
      </c>
      <c r="D15" s="456">
        <f>IF(ISNUMBER(
   IF(D_I="SI",(Datos!K15-Datos!U15)/Datos!U15,(Datos!K15+Datos!AE15-(Datos!U15+Datos!AM15))/(Datos!U15+Datos!AM15))
     ),IF(D_I="SI",(Datos!K15-Datos!U15)/Datos!U15,(Datos!K15+Datos!AE15-(Datos!U15+Datos!AM15))/(Datos!U15+Datos!AM15))," - ")</f>
        <v>9.211691762621789E-2</v>
      </c>
      <c r="E15" s="456">
        <f>IF(ISNUMBER(
   IF(D_I="SI",(Datos!L15-Datos!V15)/Datos!V15,(Datos!L15+Datos!AF15-(Datos!V15+Datos!AN15))/(Datos!V15+Datos!AN15))
     ),IF(D_I="SI",(Datos!L15-Datos!V15)/Datos!V15,(Datos!L15+Datos!AF15-(Datos!V15+Datos!AN15))/(Datos!V15+Datos!AN15))," - ")</f>
        <v>0.1162303664921466</v>
      </c>
      <c r="F15" s="456">
        <f>IF(ISNUMBER((Datos!M15-Datos!W15)/Datos!W15),(Datos!M15-Datos!W15)/Datos!W15," - ")</f>
        <v>0.19282511210762332</v>
      </c>
      <c r="G15" s="457">
        <f>IF(ISNUMBER((Datos!N15-Datos!X15)/Datos!X15),(Datos!N15-Datos!X15)/Datos!X15," - ")</f>
        <v>0.2088888888888889</v>
      </c>
      <c r="H15" s="455">
        <f>IF(ISNUMBER(((NºAsuntos!G15/NºAsuntos!E15)-Datos!BD15)/Datos!BD15),((NºAsuntos!G15/NºAsuntos!E15)-Datos!BD15)/Datos!BD15," - ")</f>
        <v>8.5121667143247069E-3</v>
      </c>
      <c r="I15" s="456">
        <f>IF(ISNUMBER(((NºAsuntos!I15/NºAsuntos!G15)-Datos!BE15)/Datos!BE15),((NºAsuntos!I15/NºAsuntos!G15)-Datos!BE15)/Datos!BE15," - ")</f>
        <v>2.2079548880481376E-2</v>
      </c>
      <c r="J15" s="461">
        <f>IF(ISNUMBER((('Resol  Asuntos'!D15/NºAsuntos!G15)-Datos!BF15)/Datos!BF15),(('Resol  Asuntos'!D15/NºAsuntos!G15)-Datos!BF15)/Datos!BF15," - ")</f>
        <v>9.2213748231554482E-2</v>
      </c>
      <c r="K15" s="462">
        <f>IF(ISNUMBER((((NºAsuntos!C15+NºAsuntos!E15)/NºAsuntos!G15)-Datos!BG15)/Datos!BG15),(((NºAsuntos!C15+NºAsuntos!E15)/NºAsuntos!G15)-Datos!BG15)/Datos!BG15," - ")</f>
        <v>1.6652166433188419E-2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-6.4935064935064939E-3</v>
      </c>
      <c r="C17" s="456">
        <f>IF(ISNUMBER(
   IF(D_I="SI",(Datos!J17-Datos!T17)/Datos!T17,(Datos!J17+Datos!AD17-(Datos!T17+Datos!AL17))/(Datos!T17+Datos!AL17))
     ),IF(D_I="SI",(Datos!J17-Datos!T17)/Datos!T17,(Datos!J17+Datos!AD17-(Datos!T17+Datos!AL17))/(Datos!T17+Datos!AL17))," - ")</f>
        <v>-8.8145896656534953E-2</v>
      </c>
      <c r="D17" s="456">
        <f>IF(ISNUMBER(
   IF(D_I="SI",(Datos!K17-Datos!U17)/Datos!U17,(Datos!K17+Datos!AE17-(Datos!U17+Datos!AM17))/(Datos!U17+Datos!AM17))
     ),IF(D_I="SI",(Datos!K17-Datos!U17)/Datos!U17,(Datos!K17+Datos!AE17-(Datos!U17+Datos!AM17))/(Datos!U17+Datos!AM17))," - ")</f>
        <v>-9.1428571428571428E-2</v>
      </c>
      <c r="E17" s="456">
        <f>IF(ISNUMBER(
   IF(D_I="SI",(Datos!L17-Datos!V17)/Datos!V17,(Datos!L17+Datos!AF17-(Datos!V17+Datos!AN17))/(Datos!V17+Datos!AN17))
     ),IF(D_I="SI",(Datos!L17-Datos!V17)/Datos!V17,(Datos!L17+Datos!AF17-(Datos!V17+Datos!AN17))/(Datos!V17+Datos!AN17))," - ")</f>
        <v>1.5037593984962405E-2</v>
      </c>
      <c r="F17" s="456">
        <f>IF(ISNUMBER((Datos!M17-Datos!W17)/Datos!W17),(Datos!M17-Datos!W17)/Datos!W17," - ")</f>
        <v>-4.6153846153846156E-2</v>
      </c>
      <c r="G17" s="457">
        <f>IF(ISNUMBER((Datos!N17-Datos!X17)/Datos!X17),(Datos!N17-Datos!X17)/Datos!X17," - ")</f>
        <v>4.2553191489361701E-2</v>
      </c>
      <c r="H17" s="455">
        <f>IF(ISNUMBER(((NºAsuntos!G17/NºAsuntos!E17)-Datos!BD17)/Datos!BD17),((NºAsuntos!G17/NºAsuntos!E17)-Datos!BD17)/Datos!BD17," - ")</f>
        <v>-3.5999999999999322E-3</v>
      </c>
      <c r="I17" s="456">
        <f>IF(ISNUMBER(((NºAsuntos!I17/NºAsuntos!G17)-Datos!BE17)/Datos!BE17),((NºAsuntos!I17/NºAsuntos!G17)-Datos!BE17)/Datos!BE17," - ")</f>
        <v>0.11717974180734859</v>
      </c>
      <c r="J17" s="461">
        <f>IF(ISNUMBER((('Resol  Asuntos'!D17/NºAsuntos!G17)-Datos!BF17)/Datos!BF17),(('Resol  Asuntos'!D17/NºAsuntos!G17)-Datos!BF17)/Datos!BF17," - ")</f>
        <v>4.9830672472181939E-2</v>
      </c>
      <c r="K17" s="462">
        <f>IF(ISNUMBER((((NºAsuntos!C17+NºAsuntos!E17)/NºAsuntos!G17)-Datos!BG17)/Datos!BG17),(((NºAsuntos!C17+NºAsuntos!E17)/NºAsuntos!G17)-Datos!BG17)/Datos!BG17," - ")</f>
        <v>3.2266885425212014E-2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0.12869003690036901</v>
      </c>
      <c r="C18" s="855">
        <f>IF(ISNUMBER(
   IF(Criterios!B14="SI",(Datos!J18-Datos!T18)/Datos!T18,(Datos!J18+Datos!AD18-(Datos!T18+Datos!AL18))/(Datos!T18+Datos!AL18))
     ),IF(Criterios!B14="SI",(Datos!J18-Datos!T18)/Datos!T18,(Datos!J18+Datos!AD18-(Datos!T18+Datos!AL18))/(Datos!T18+Datos!AL18))," - ")</f>
        <v>5.983606557377049E-2</v>
      </c>
      <c r="D18" s="855">
        <f>IF(ISNUMBER(
   IF(Criterios!B14="SI",(Datos!K18-Datos!U18)/Datos!U18,(Datos!K18+Datos!AE18-(Datos!U18+Datos!AM18))/(Datos!U18+Datos!AM18))
     ),IF(Criterios!B14="SI",(Datos!K18-Datos!U18)/Datos!U18,(Datos!K18+Datos!AE18-(Datos!U18+Datos!AM18))/(Datos!U18+Datos!AM18))," - ")</f>
        <v>6.7484662576687116E-2</v>
      </c>
      <c r="E18" s="855">
        <f>IF(ISNUMBER(
   IF(Criterios!B14="SI",(Datos!L18-Datos!V18)/Datos!V18,(Datos!L18+Datos!AF18-(Datos!V18+Datos!AN18))/(Datos!V18+Datos!AN18))
     ),IF(Criterios!B14="SI",(Datos!L18-Datos!V18)/Datos!V18,(Datos!L18+Datos!AF18-(Datos!V18+Datos!AN18))/(Datos!V18+Datos!AN18))," - ")</f>
        <v>0.109642682329907</v>
      </c>
      <c r="F18" s="856">
        <f>IF(ISNUMBER((Datos!M18-Datos!W18)/Datos!W18),(Datos!M18-Datos!W18)/Datos!W18," - ")</f>
        <v>0.1388888888888889</v>
      </c>
      <c r="G18" s="857">
        <f>IF(ISNUMBER((Datos!N18-Datos!X18)/Datos!X18),(Datos!N18-Datos!X18)/Datos!X18," - ")</f>
        <v>0.18422712933753943</v>
      </c>
      <c r="H18" s="857">
        <f>IF(ISNUMBER(((NºAsuntos!G18/NºAsuntos!E18)-Datos!BD18)/Datos!BD18),((NºAsuntos!G18/NºAsuntos!E18)-Datos!BD18)/Datos!BD18," - ")</f>
        <v>7.2167736609112061E-3</v>
      </c>
      <c r="I18" s="857">
        <f>IF(ISNUMBER(((NºAsuntos!I18/NºAsuntos!G18)-Datos!BE18)/Datos!BE18),((NºAsuntos!I18/NºAsuntos!G18)-Datos!BE18)/Datos!BE18," - ")</f>
        <v>3.9492857584912951E-2</v>
      </c>
      <c r="J18" s="857">
        <f>IF(ISNUMBER((('Resol  Asuntos'!D18/NºAsuntos!G18)-Datos!BF18)/Datos!BF18),(('Resol  Asuntos'!D18/NºAsuntos!G18)-Datos!BF18)/Datos!BF18," - ")</f>
        <v>6.6890166028097012E-2</v>
      </c>
      <c r="K18" s="857">
        <f>IF(ISNUMBER((((NºAsuntos!C18+NºAsuntos!E18)/NºAsuntos!G18)-Datos!BG18)/Datos!BG18),(((NºAsuntos!C18+NºAsuntos!E18)/NºAsuntos!G18)-Datos!BG18)/Datos!BG18," - ")</f>
        <v>2.3181822717113644E-2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0.38822409573021482</v>
      </c>
      <c r="C19" s="802">
        <f>IF(ISNUMBER(
   IF(J_V="SI",(Datos!J19-Datos!T19)/Datos!T19,(Datos!J19+Datos!Z19-(Datos!T19+Datos!AH19))/(Datos!T19+Datos!AH19))
     ),IF(J_V="SI",(Datos!J19-Datos!T19)/Datos!T19,(Datos!J19+Datos!Z19-(Datos!T19+Datos!AH19))/(Datos!T19+Datos!AH19))," - ")</f>
        <v>-7.7387367967234319E-2</v>
      </c>
      <c r="D19" s="802">
        <f>IF(ISNUMBER(
   IF(J_V="SI",(Datos!K19-Datos!U19)/Datos!U19,(Datos!K19+Datos!AA19-(Datos!U19+Datos!AI19))/(Datos!U19+Datos!AI19))
     ),IF(J_V="SI",(Datos!K19-Datos!U19)/Datos!U19,(Datos!K19+Datos!AA19-(Datos!U19+Datos!AI19))/(Datos!U19+Datos!AI19))," - ")</f>
        <v>0.11307657859381998</v>
      </c>
      <c r="E19" s="802">
        <f>IF(ISNUMBER(
   IF(J_V="SI",(Datos!L19-Datos!V19)/Datos!V19,(Datos!L19+Datos!AB19-(Datos!V19+Datos!AJ19))/(Datos!V19+Datos!AJ19))
     ),IF(J_V="SI",(Datos!L19-Datos!V19)/Datos!V19,(Datos!L19+Datos!AB19-(Datos!V19+Datos!AJ19))/(Datos!V19+Datos!AJ19))," - ")</f>
        <v>0.25970937912813741</v>
      </c>
      <c r="F19" s="803">
        <f>IF(ISNUMBER((Datos!M19-Datos!W19)/Datos!W19),(Datos!M19-Datos!W19)/Datos!W19," - ")</f>
        <v>8.9775561097256859E-2</v>
      </c>
      <c r="G19" s="804">
        <f>IF(ISNUMBER((Datos!N19-Datos!X19)/Datos!X19),(Datos!N19-Datos!X19)/Datos!X19," - ")</f>
        <v>0.30463871543264942</v>
      </c>
      <c r="H19" s="805">
        <f>IF(ISNUMBER((Tasas!B19-Datos!BD19)/Datos!BD19),(Tasas!B19-Datos!BD19)/Datos!BD19," - ")</f>
        <v>0.20643977759269405</v>
      </c>
      <c r="I19" s="806">
        <f>IF(ISNUMBER((Tasas!C19-Datos!BE19)/Datos!BE19),(Tasas!C19-Datos!BE19)/Datos!BE19," - ")</f>
        <v>0.13173648907388089</v>
      </c>
      <c r="J19" s="807">
        <f>IF(ISNUMBER((Tasas!D19-Datos!BF19)/Datos!BF19),(Tasas!D19-Datos!BF19)/Datos!BF19," - ")</f>
        <v>-0.17259112335211252</v>
      </c>
      <c r="K19" s="807">
        <f>IF(ISNUMBER((Tasas!E19-Datos!BG19)/Datos!BG19),(Tasas!E19-Datos!BG19)/Datos!BG19," - ")</f>
        <v>8.5389296106360466E-2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hZ/K7NEyeZr5aaz3tMH+gyDlPdrmfFe2RwhMlhBWagcTjiU03ErCW6i75hudd+R5XJBVZT4IzAQRZcT0samrw==" saltValue="r81qsS8l8GDqetTLS8Sr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MANACOR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1.3042168674698795</v>
      </c>
      <c r="C9" s="443">
        <f>IF(ISNUMBER(NºAsuntos!I9/NºAsuntos!G9),NºAsuntos!I9/NºAsuntos!G9," - ")</f>
        <v>3.2605080831408775</v>
      </c>
      <c r="D9" s="444">
        <f>IF(ISNUMBER('Resol  Asuntos'!D9/NºAsuntos!G9),'Resol  Asuntos'!D9/NºAsuntos!G9," - ")</f>
        <v>0.24757505773672056</v>
      </c>
      <c r="E9" s="445">
        <f>IF(ISNUMBER((NºAsuntos!C9+NºAsuntos!E9)/NºAsuntos!G9),(NºAsuntos!C9+NºAsuntos!E9)/NºAsuntos!G9," - ")</f>
        <v>4.2605080831408779</v>
      </c>
      <c r="G9" s="463"/>
    </row>
    <row r="10" spans="1:7">
      <c r="A10" s="402" t="str">
        <f>Datos!A10</f>
        <v>Jdos. Violencia contra la mujer</v>
      </c>
      <c r="B10" s="442">
        <f>IF(ISNUMBER(NºAsuntos!G10/NºAsuntos!E10),NºAsuntos!G10/NºAsuntos!E10," - ")</f>
        <v>0.6470588235294118</v>
      </c>
      <c r="C10" s="443">
        <f>IF(ISNUMBER(NºAsuntos!I10/NºAsuntos!G10),NºAsuntos!I10/NºAsuntos!G10," - ")</f>
        <v>9.545454545454545</v>
      </c>
      <c r="D10" s="444">
        <f>IF(ISNUMBER('Resol  Asuntos'!D10/NºAsuntos!G10),'Resol  Asuntos'!D10/NºAsuntos!G10," - ")</f>
        <v>0.45454545454545453</v>
      </c>
      <c r="E10" s="445">
        <f>IF(ISNUMBER((NºAsuntos!C10+NºAsuntos!E10)/NºAsuntos!G10),(NºAsuntos!C10+NºAsuntos!E10)/NºAsuntos!G10," - ")</f>
        <v>10.545454545454545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1.2910271546635184</v>
      </c>
      <c r="C13" s="859">
        <f>IF(ISNUMBER(NºAsuntos!I13/NºAsuntos!G13),NºAsuntos!I13/NºAsuntos!G13," - ")</f>
        <v>3.3237311385459534</v>
      </c>
      <c r="D13" s="860">
        <f>IF(ISNUMBER('Resol  Asuntos'!D13/NºAsuntos!G13),'Resol  Asuntos'!D13/NºAsuntos!G13," - ")</f>
        <v>0.2496570644718793</v>
      </c>
      <c r="E13" s="861">
        <f>IF(ISNUMBER((NºAsuntos!C13+NºAsuntos!E13)/NºAsuntos!G13),(NºAsuntos!C13+NºAsuntos!E13)/NºAsuntos!G13," - ")</f>
        <v>4.3237311385459529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1.078740157480315</v>
      </c>
      <c r="C15" s="443">
        <f>IF(ISNUMBER(NºAsuntos!I15/NºAsuntos!G15),NºAsuntos!I15/NºAsuntos!G15," - ")</f>
        <v>0.86455798864557987</v>
      </c>
      <c r="D15" s="444">
        <f>IF(ISNUMBER('Resol  Asuntos'!D15/NºAsuntos!G15),'Resol  Asuntos'!D15/NºAsuntos!G15," - ")</f>
        <v>0.10786699107866991</v>
      </c>
      <c r="E15" s="445">
        <f>IF(ISNUMBER((NºAsuntos!C15+NºAsuntos!E15)/NºAsuntos!G15),(NºAsuntos!C15+NºAsuntos!E15)/NºAsuntos!G15," - ")</f>
        <v>1.8572587185725873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1.06</v>
      </c>
      <c r="C17" s="443">
        <f>IF(ISNUMBER(NºAsuntos!I17/NºAsuntos!G17),NºAsuntos!I17/NºAsuntos!G17," - ")</f>
        <v>0.42452830188679247</v>
      </c>
      <c r="D17" s="444">
        <f>IF(ISNUMBER('Resol  Asuntos'!D17/NºAsuntos!G17),'Resol  Asuntos'!D17/NºAsuntos!G17," - ")</f>
        <v>0.19496855345911951</v>
      </c>
      <c r="E17" s="445">
        <f>IF(ISNUMBER((NºAsuntos!C17+NºAsuntos!E17)/NºAsuntos!G17),(NºAsuntos!C17+NºAsuntos!E17)/NºAsuntos!G17," - ")</f>
        <v>1.4245283018867925</v>
      </c>
      <c r="G17" s="463"/>
    </row>
    <row r="18" spans="1:7" ht="14.25" thickTop="1" thickBot="1">
      <c r="A18" s="848" t="str">
        <f>Datos!A18</f>
        <v>TOTAL</v>
      </c>
      <c r="B18" s="858">
        <f>IF(ISNUMBER(NºAsuntos!G18/NºAsuntos!E18),NºAsuntos!G18/NºAsuntos!E18," - ")</f>
        <v>1.0765661252900232</v>
      </c>
      <c r="C18" s="859">
        <f>IF(ISNUMBER(NºAsuntos!I18/NºAsuntos!G18),NºAsuntos!I18/NºAsuntos!G18," - ")</f>
        <v>0.81429597701149425</v>
      </c>
      <c r="D18" s="862">
        <f>IF(ISNUMBER('Resol  Asuntos'!D18/NºAsuntos!G18),'Resol  Asuntos'!D18/NºAsuntos!G18," - ")</f>
        <v>0.11781609195402298</v>
      </c>
      <c r="E18" s="861">
        <f>IF(ISNUMBER((NºAsuntos!C18+NºAsuntos!E18)/NºAsuntos!G18),(NºAsuntos!C18+NºAsuntos!E18)/NºAsuntos!G18," - ")</f>
        <v>1.8078304597701149</v>
      </c>
      <c r="G18" s="463"/>
    </row>
    <row r="19" spans="1:7" ht="15.75" customHeight="1" thickTop="1" thickBot="1">
      <c r="A19" s="793" t="str">
        <f>Datos!A19</f>
        <v>TOTAL JURISDICCIONES</v>
      </c>
      <c r="B19" s="808">
        <f>IF(ISNUMBER(NºAsuntos!G19/NºAsuntos!E19),NºAsuntos!G19/NºAsuntos!E19," - ")</f>
        <v>1.1614485981308411</v>
      </c>
      <c r="C19" s="809">
        <f>IF(ISNUMBER(NºAsuntos!I19/NºAsuntos!G19),NºAsuntos!I19/NºAsuntos!G19," - ")</f>
        <v>1.9183262924964797</v>
      </c>
      <c r="D19" s="810">
        <f>IF(ISNUMBER('Resol  Asuntos'!D19/NºAsuntos!G19),'Resol  Asuntos'!D19/NºAsuntos!G19," - ")</f>
        <v>0.17581975457654395</v>
      </c>
      <c r="E19" s="811">
        <f>IF(ISNUMBER((NºAsuntos!C19+NºAsuntos!E19)/NºAsuntos!G19),(NºAsuntos!C19+NºAsuntos!E19)/NºAsuntos!G19," - ")</f>
        <v>2.9147052906859785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MP7u8fjUiNvqF+ON84VHT+pvUHxYLTyTszldSzCRgMZOrPdqYhvO2tnBOgmlGutIhBCwz6dUc5dxmVrubTnaQ==" saltValue="3xkCWjI4IjflFdWq/lYj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MANACOR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545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561</v>
      </c>
      <c r="Y9" s="334">
        <f>SUM(W9:X9)</f>
        <v>561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6883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536</v>
      </c>
      <c r="AJ9" s="229" t="str">
        <f>IF(ISNUMBER(Datos!BW9),Datos!BW9," - ")</f>
        <v xml:space="preserve"> - </v>
      </c>
      <c r="AK9" s="228" t="str">
        <f>IF(ISNUMBER(Datos!BX9),Datos!BX9," - ")</f>
        <v xml:space="preserve"> - </v>
      </c>
      <c r="AL9" s="243">
        <f>IF(ISNUMBER(NºAsuntos!G9/NºAsuntos!E9),NºAsuntos!G9/NºAsuntos!E9," - ")</f>
        <v>1.3042168674698795</v>
      </c>
      <c r="AM9" s="260">
        <f>IF(ISNUMBER(((NºAsuntos!I9/NºAsuntos!G9)*11)/factor_trimestre),((NºAsuntos!I9/NºAsuntos!G9)*11)/factor_trimestre," - ")</f>
        <v>9.7815242494226329</v>
      </c>
      <c r="AN9" s="244">
        <f>IF(ISNUMBER('Resol  Asuntos'!D9/NºAsuntos!G9),'Resol  Asuntos'!D9/NºAsuntos!G9," - ")</f>
        <v>0.24757505773672056</v>
      </c>
      <c r="AO9" s="245">
        <f>IF(ISNUMBER((NºAsuntos!C9+NºAsuntos!E9)/NºAsuntos!G9),(NºAsuntos!C9+NºAsuntos!E9)/NºAsuntos!G9," - ")</f>
        <v>4.2605080831408779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198</v>
      </c>
      <c r="G10" s="333">
        <f>IF(ISNUMBER(Datos!I10),Datos!I10," - ")</f>
        <v>198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210</v>
      </c>
      <c r="AB10" s="334">
        <f>IF(ISNUMBER(Datos!R10),Datos!R10," - ")</f>
        <v>75</v>
      </c>
      <c r="AC10" s="334">
        <f t="shared" ref="AC10:AC12" si="1">IF(ISNUMBER(AA10+AB10),AA10+AB10," - ")</f>
        <v>285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0.6470588235294118</v>
      </c>
      <c r="AM10" s="260">
        <f>IF(ISNUMBER(((NºAsuntos!I10/NºAsuntos!G10)*11)/factor_trimestre),((NºAsuntos!I10/NºAsuntos!G10)*11)/factor_trimestre," - ")</f>
        <v>28.636363636363637</v>
      </c>
      <c r="AN10" s="244">
        <f>IF(ISNUMBER('Resol  Asuntos'!D10/NºAsuntos!G10),'Resol  Asuntos'!D10/NºAsuntos!G10," - ")</f>
        <v>0.45454545454545453</v>
      </c>
      <c r="AO10" s="245">
        <f>IF(ISNUMBER((NºAsuntos!C10+NºAsuntos!E10)/NºAsuntos!G10),(NºAsuntos!C10+NºAsuntos!E10)/NºAsuntos!G10," - ")</f>
        <v>10.545454545454545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198</v>
      </c>
      <c r="G13" s="866">
        <f t="shared" si="3"/>
        <v>198</v>
      </c>
      <c r="H13" s="865">
        <f t="shared" si="3"/>
        <v>0</v>
      </c>
      <c r="I13" s="867">
        <f t="shared" si="3"/>
        <v>0</v>
      </c>
      <c r="J13" s="867">
        <f t="shared" si="3"/>
        <v>0</v>
      </c>
      <c r="K13" s="867">
        <f t="shared" si="3"/>
        <v>0</v>
      </c>
      <c r="L13" s="867">
        <f t="shared" si="3"/>
        <v>547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561</v>
      </c>
      <c r="Y13" s="868">
        <f t="shared" si="4"/>
        <v>583</v>
      </c>
      <c r="Z13" s="868">
        <f t="shared" si="4"/>
        <v>0</v>
      </c>
      <c r="AA13" s="868">
        <f t="shared" si="4"/>
        <v>210</v>
      </c>
      <c r="AB13" s="868">
        <f t="shared" si="4"/>
        <v>6958</v>
      </c>
      <c r="AC13" s="868">
        <f t="shared" si="4"/>
        <v>285</v>
      </c>
      <c r="AD13" s="868">
        <f t="shared" si="4"/>
        <v>0</v>
      </c>
      <c r="AE13" s="872">
        <f t="shared" si="4"/>
        <v>0</v>
      </c>
      <c r="AF13" s="865">
        <f t="shared" si="4"/>
        <v>0</v>
      </c>
      <c r="AG13" s="873">
        <f t="shared" si="4"/>
        <v>0</v>
      </c>
      <c r="AH13" s="870">
        <f t="shared" si="4"/>
        <v>0</v>
      </c>
      <c r="AI13" s="865">
        <f t="shared" si="4"/>
        <v>546</v>
      </c>
      <c r="AJ13" s="867">
        <f t="shared" si="4"/>
        <v>0</v>
      </c>
      <c r="AK13" s="870">
        <f>SUBTOTAL(9,AK9:AK12)</f>
        <v>0</v>
      </c>
      <c r="AL13" s="874">
        <f>IF(ISNUMBER(NºAsuntos!G13/NºAsuntos!E13),NºAsuntos!G13/NºAsuntos!E13," - ")</f>
        <v>1.2910271546635184</v>
      </c>
      <c r="AM13" s="874">
        <f>IF(ISNUMBER(((NºAsuntos!I13/NºAsuntos!G13)*11)/factor_trimestre),((NºAsuntos!I13/NºAsuntos!G13)*11)/factor_trimestre," - ")</f>
        <v>9.9711934156378597</v>
      </c>
      <c r="AN13" s="875">
        <f>IF(ISNUMBER('Resol  Asuntos'!D13/NºAsuntos!G13),'Resol  Asuntos'!D13/NºAsuntos!G13," - ")</f>
        <v>0.2496570644718793</v>
      </c>
      <c r="AO13" s="876">
        <f>IF(ISNUMBER((NºAsuntos!C13+NºAsuntos!E13)/NºAsuntos!G13),(NºAsuntos!C13+NºAsuntos!E13)/NºAsuntos!G13," - ")</f>
        <v>4.3237311385459529</v>
      </c>
      <c r="AP13" s="877" t="str">
        <f t="shared" si="2"/>
        <v xml:space="preserve"> - </v>
      </c>
      <c r="AQ13" s="877">
        <f>IF(ISNUMBER((H13-W13+K13)/(F13)),(H13-W13+K13)/(F13)," - ")</f>
        <v>-0.1111111111111111</v>
      </c>
      <c r="AR13" s="878">
        <f>IF(ISNUMBER((Datos!P13-Datos!Q13)/(Datos!R13-Datos!P13+Datos!Q13)),(Datos!P13-Datos!Q13)/(Datos!R13-Datos!P13+Datos!Q13)," - ")</f>
        <v>-2.008032128514056E-3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2312</v>
      </c>
      <c r="G15" s="333">
        <f>IF(ISNUMBER(IF(D_I="SI",Datos!I15,Datos!I15+Datos!AC15)),IF(D_I="SI",Datos!I15,Datos!I15+Datos!AC15)," - ")</f>
        <v>2294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2466</v>
      </c>
      <c r="X15" s="226">
        <f>IF(ISNUMBER(Datos!Q15),Datos!Q15," - ")</f>
        <v>10</v>
      </c>
      <c r="Y15" s="334">
        <f>SUM(W15)</f>
        <v>2466</v>
      </c>
      <c r="Z15" s="335" t="str">
        <f>IF(ISNUMBER(Datos!CC15),Datos!CC15," - ")</f>
        <v xml:space="preserve"> - </v>
      </c>
      <c r="AA15" s="332">
        <f>IF(ISNUMBER(IF(D_I="SI",Datos!L15,Datos!L15+Datos!AF15)),IF(D_I="SI",Datos!L15,Datos!L15+Datos!AF15)," - ")</f>
        <v>2132</v>
      </c>
      <c r="AB15" s="334">
        <f>IF(ISNUMBER(Datos!R15),Datos!R15," - ")</f>
        <v>138</v>
      </c>
      <c r="AC15" s="334">
        <f t="shared" ref="AC15:AC17" si="6">IF(ISNUMBER(AA15+AB15),AA15+AB15," - ")</f>
        <v>2270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266</v>
      </c>
      <c r="AJ15" s="231" t="str">
        <f>IF(ISNUMBER(Datos!BW15),Datos!BW15," - ")</f>
        <v xml:space="preserve"> - </v>
      </c>
      <c r="AK15" s="232" t="str">
        <f>IF(ISNUMBER(Datos!BX15),Datos!BX15," - ")</f>
        <v xml:space="preserve"> - </v>
      </c>
      <c r="AL15" s="243">
        <f>IF(ISNUMBER(NºAsuntos!G15/NºAsuntos!E15),NºAsuntos!G15/NºAsuntos!E15," - ")</f>
        <v>1.078740157480315</v>
      </c>
      <c r="AM15" s="260">
        <f>IF(ISNUMBER(((NºAsuntos!I15/NºAsuntos!G15)*11)/factor_trimestre),((NºAsuntos!I15/NºAsuntos!G15)*11)/factor_trimestre," - ")</f>
        <v>2.5936739659367398</v>
      </c>
      <c r="AN15" s="244">
        <f>IF(ISNUMBER('Resol  Asuntos'!D15/NºAsuntos!G15),'Resol  Asuntos'!D15/NºAsuntos!G15," - ")</f>
        <v>0.10786699107866991</v>
      </c>
      <c r="AO15" s="245">
        <f>IF(ISNUMBER((NºAsuntos!C15+NºAsuntos!E15)/NºAsuntos!G15),(NºAsuntos!C15+NºAsuntos!E15)/NºAsuntos!G15," - ")</f>
        <v>1.8572587185725873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318</v>
      </c>
      <c r="X17" s="226">
        <f>IF(ISNUMBER(Datos!Q17),Datos!Q17," - ")</f>
        <v>0</v>
      </c>
      <c r="Y17" s="334">
        <f t="shared" si="7"/>
        <v>318</v>
      </c>
      <c r="Z17" s="335" t="str">
        <f>IF(ISNUMBER(Datos!CC17),Datos!CC17," - ")</f>
        <v xml:space="preserve"> - </v>
      </c>
      <c r="AA17" s="332">
        <f>IF(ISNUMBER(Datos!L17),Datos!L17,"-")</f>
        <v>135</v>
      </c>
      <c r="AB17" s="334">
        <f>IF(ISNUMBER(Datos!R17),Datos!R17," - ")</f>
        <v>12</v>
      </c>
      <c r="AC17" s="334">
        <f t="shared" si="6"/>
        <v>147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62</v>
      </c>
      <c r="AJ17" s="231" t="str">
        <f>IF(ISNUMBER(Datos!BW17),Datos!BW17," - ")</f>
        <v xml:space="preserve"> - </v>
      </c>
      <c r="AK17" s="232" t="str">
        <f>IF(ISNUMBER(Datos!BX17),Datos!BX17," - ")</f>
        <v xml:space="preserve"> - </v>
      </c>
      <c r="AL17" s="243">
        <f>IF(ISNUMBER(NºAsuntos!G17/NºAsuntos!E17),NºAsuntos!G17/NºAsuntos!E17," - ")</f>
        <v>1.06</v>
      </c>
      <c r="AM17" s="260">
        <f>IF(ISNUMBER(((NºAsuntos!I17/NºAsuntos!G17)*11)/factor_trimestre),((NºAsuntos!I17/NºAsuntos!G17)*11)/factor_trimestre," - ")</f>
        <v>1.2735849056603774</v>
      </c>
      <c r="AN17" s="244">
        <f>IF(ISNUMBER('Resol  Asuntos'!D17/NºAsuntos!G17),'Resol  Asuntos'!D17/NºAsuntos!G17," - ")</f>
        <v>0.19496855345911951</v>
      </c>
      <c r="AO17" s="245">
        <f>IF(ISNUMBER((NºAsuntos!C17+NºAsuntos!E17)/NºAsuntos!G17),(NºAsuntos!C17+NºAsuntos!E17)/NºAsuntos!G17," - ")</f>
        <v>1.4245283018867925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2312</v>
      </c>
      <c r="G18" s="866">
        <f>SUBTOTAL(9,G15:G17)</f>
        <v>2447</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2784</v>
      </c>
      <c r="X18" s="867">
        <f t="shared" si="11"/>
        <v>10</v>
      </c>
      <c r="Y18" s="868">
        <f t="shared" si="11"/>
        <v>2784</v>
      </c>
      <c r="Z18" s="868">
        <f t="shared" si="11"/>
        <v>0</v>
      </c>
      <c r="AA18" s="868">
        <f t="shared" si="11"/>
        <v>2267</v>
      </c>
      <c r="AB18" s="868">
        <f t="shared" si="11"/>
        <v>150</v>
      </c>
      <c r="AC18" s="868">
        <f t="shared" si="11"/>
        <v>2417</v>
      </c>
      <c r="AD18" s="868">
        <f t="shared" si="11"/>
        <v>0</v>
      </c>
      <c r="AE18" s="872">
        <f t="shared" si="11"/>
        <v>0</v>
      </c>
      <c r="AF18" s="865">
        <f t="shared" si="11"/>
        <v>0</v>
      </c>
      <c r="AG18" s="873">
        <f t="shared" si="11"/>
        <v>0</v>
      </c>
      <c r="AH18" s="870">
        <f t="shared" si="11"/>
        <v>0</v>
      </c>
      <c r="AI18" s="865">
        <f t="shared" si="11"/>
        <v>328</v>
      </c>
      <c r="AJ18" s="867">
        <f t="shared" si="11"/>
        <v>0</v>
      </c>
      <c r="AK18" s="870">
        <f t="shared" si="11"/>
        <v>0</v>
      </c>
      <c r="AL18" s="874">
        <f>IF(ISNUMBER(NºAsuntos!G18/NºAsuntos!E18),NºAsuntos!G18/NºAsuntos!E18," - ")</f>
        <v>1.0765661252900232</v>
      </c>
      <c r="AM18" s="874">
        <f>IF(ISNUMBER(((NºAsuntos!I18/NºAsuntos!G18)*11)/factor_trimestre),((NºAsuntos!I18/NºAsuntos!G18)*11)/factor_trimestre," - ")</f>
        <v>2.4428879310344831</v>
      </c>
      <c r="AN18" s="875">
        <f>IF(ISNUMBER('Resol  Asuntos'!D18/NºAsuntos!G18),'Resol  Asuntos'!D18/NºAsuntos!G18," - ")</f>
        <v>0.11781609195402298</v>
      </c>
      <c r="AO18" s="876">
        <f>IF(ISNUMBER((NºAsuntos!C18+NºAsuntos!E18)/NºAsuntos!G18),(NºAsuntos!C18+NºAsuntos!E18)/NºAsuntos!G18," - ")</f>
        <v>1.8078304597701149</v>
      </c>
      <c r="AP18" s="877" t="str">
        <f t="shared" si="2"/>
        <v xml:space="preserve"> - </v>
      </c>
      <c r="AQ18" s="877">
        <f>IF(ISNUMBER((H18-W18+K18)/(F18)),(H18-W18+K18)/(F18)," - ")</f>
        <v>-1.2041522491349481</v>
      </c>
      <c r="AR18" s="878">
        <f>IF(ISNUMBER((Datos!P18-Datos!Q18)/(Datos!R18-Datos!P18+Datos!Q18)),(Datos!P18-Datos!Q18)/(Datos!R18-Datos!P18+Datos!Q18)," - ")</f>
        <v>5.6338028169014086E-2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2510</v>
      </c>
      <c r="G19" s="821">
        <f t="shared" si="13"/>
        <v>2645</v>
      </c>
      <c r="H19" s="820">
        <f t="shared" si="13"/>
        <v>0</v>
      </c>
      <c r="I19" s="822">
        <f t="shared" si="13"/>
        <v>0</v>
      </c>
      <c r="J19" s="822">
        <f t="shared" si="13"/>
        <v>0</v>
      </c>
      <c r="K19" s="881">
        <f t="shared" si="13"/>
        <v>0</v>
      </c>
      <c r="L19" s="822">
        <f t="shared" si="13"/>
        <v>565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2806</v>
      </c>
      <c r="X19" s="821">
        <f t="shared" si="14"/>
        <v>571</v>
      </c>
      <c r="Y19" s="828">
        <f t="shared" si="14"/>
        <v>3367</v>
      </c>
      <c r="Z19" s="828">
        <f t="shared" si="14"/>
        <v>0</v>
      </c>
      <c r="AA19" s="828">
        <f t="shared" si="14"/>
        <v>2477</v>
      </c>
      <c r="AB19" s="828">
        <f t="shared" si="14"/>
        <v>7108</v>
      </c>
      <c r="AC19" s="828">
        <f t="shared" si="14"/>
        <v>2702</v>
      </c>
      <c r="AD19" s="828">
        <f t="shared" si="14"/>
        <v>0</v>
      </c>
      <c r="AE19" s="830">
        <f t="shared" si="14"/>
        <v>0</v>
      </c>
      <c r="AF19" s="831">
        <f t="shared" si="14"/>
        <v>0</v>
      </c>
      <c r="AG19" s="832">
        <f t="shared" si="14"/>
        <v>0</v>
      </c>
      <c r="AH19" s="830">
        <f t="shared" si="14"/>
        <v>0</v>
      </c>
      <c r="AI19" s="820">
        <f t="shared" si="14"/>
        <v>874</v>
      </c>
      <c r="AJ19" s="820">
        <f t="shared" si="14"/>
        <v>0</v>
      </c>
      <c r="AK19" s="830">
        <f t="shared" si="14"/>
        <v>0</v>
      </c>
      <c r="AL19" s="884">
        <f>IF(ISNUMBER(NºAsuntos!G19/NºAsuntos!E19),NºAsuntos!G19/NºAsuntos!E19," - ")</f>
        <v>1.1614485981308411</v>
      </c>
      <c r="AM19" s="885">
        <f>IF(ISNUMBER(((NºAsuntos!I19/NºAsuntos!G19)*11)/factor_trimestre),((NºAsuntos!I19/NºAsuntos!G19)*11)/factor_trimestre," - ")</f>
        <v>5.7549788774894397</v>
      </c>
      <c r="AN19" s="885">
        <f>IF(ISNUMBER('Resol  Asuntos'!D19/NºAsuntos!G19),'Resol  Asuntos'!D19/NºAsuntos!G19," - ")</f>
        <v>0.17581975457654395</v>
      </c>
      <c r="AO19" s="886">
        <f>IF(ISNUMBER((NºAsuntos!C19+NºAsuntos!E19)/NºAsuntos!G19),(NºAsuntos!C19+NºAsuntos!E19)/NºAsuntos!G19," - ")</f>
        <v>2.9147052906859785</v>
      </c>
      <c r="AP19" s="887" t="str">
        <f t="shared" si="2"/>
        <v xml:space="preserve"> - </v>
      </c>
      <c r="AQ19" s="888">
        <f>IF(OR(ISNUMBER(FIND("01",Criterios!A8,1)),ISNUMBER(FIND("02",Criterios!A8,1)),ISNUMBER(FIND("03",Criterios!A8,1)),ISNUMBER(FIND("04",Criterios!A8,1))),(I19-W19+K19)/(F19-K19),(H19-W19+K19)/(F19-K19))</f>
        <v>-1.1179282868525897</v>
      </c>
      <c r="AR19" s="889">
        <f>IF(ISNUMBER((Datos!P19-Datos!Q19)/(Datos!R19-Datos!P19+Datos!Q19)),(Datos!P19-Datos!Q19)/(Datos!R19-Datos!P19+Datos!Q19)," - ")</f>
        <v>-8.4340736575766093E-4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2.2236106773543889</v>
      </c>
      <c r="F21" s="252">
        <f>IF(ISNUMBER(STDEV(F8:F18)),STDEV(F8:F18),"-")</f>
        <v>1220.5184690668689</v>
      </c>
      <c r="G21" s="253">
        <f>IF(ISNUMBER(STDEV(G8:G18)),STDEV(G8:G18),"-")</f>
        <v>1199.5042726059794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1381.5747536778458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227.35229637429808</v>
      </c>
      <c r="AJ21" s="252">
        <f t="shared" si="18"/>
        <v>0</v>
      </c>
      <c r="AK21" s="254">
        <f t="shared" si="18"/>
        <v>0</v>
      </c>
      <c r="AL21" s="249">
        <f t="shared" si="18"/>
        <v>0.23772822555356452</v>
      </c>
      <c r="AM21" s="250">
        <f t="shared" si="18"/>
        <v>10.303334500590866</v>
      </c>
      <c r="AN21" s="250">
        <f t="shared" si="18"/>
        <v>0.12636082821231057</v>
      </c>
      <c r="AO21" s="251">
        <f t="shared" si="18"/>
        <v>3.4362080042069825</v>
      </c>
      <c r="AP21" s="291" t="str">
        <f t="shared" si="18"/>
        <v>-</v>
      </c>
      <c r="AQ21" s="292">
        <f t="shared" si="18"/>
        <v>0.7728968008125161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f/zaFofDG95Pz+AWnPRFKzv/5dTYD0HwYDk/q+5IJ/IYG+3QYqyC4DbDLUi4Hw/EcXLzE72LZHsRquqLoOuCg==" saltValue="4N9UPHHkn3ndhBjGUbBL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MANACOR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6.7729083665338641E-2</v>
      </c>
      <c r="I9" s="350">
        <f>IF(ISNUMBER((Tasas!C9-Datos!BE9)/Datos!BE9),(Tasas!C9-Datos!BE9)/Datos!BE9," - ")</f>
        <v>0.11484412702725427</v>
      </c>
      <c r="J9" s="349">
        <f>IF(ISNUMBER((Tasas!D9-Datos!BF9)/Datos!BF9),(Tasas!D9-Datos!BF9)/Datos!BF9," - ")</f>
        <v>-0.30152553048392094</v>
      </c>
      <c r="K9" s="351">
        <f>IF(ISNUMBER((Tasas!E9-Datos!BG9)/Datos!BG9),(Tasas!E9-Datos!BG9)/Datos!BG9," - ")</f>
        <v>8.5581728392839881E-2</v>
      </c>
      <c r="M9" t="e">
        <f>IF(Monitorios="SI",Datos!CE9,0)</f>
        <v>#REF!</v>
      </c>
      <c r="N9" t="e">
        <f>IF(Monitorios="SI",Datos!CF9,0)</f>
        <v>#REF!</v>
      </c>
      <c r="O9" t="e">
        <f>IF(Monitorios="SI",Datos!CG9,0)</f>
        <v>#REF!</v>
      </c>
      <c r="P9" t="e">
        <f>IF(Monitorios="SI",Datos!CH9,0)</f>
        <v>#REF!</v>
      </c>
      <c r="Q9">
        <f>IF(J_V="SI",0,Datos!AG9)</f>
        <v>166</v>
      </c>
      <c r="R9">
        <f>IF(J_V="SI",0,Datos!AH9)</f>
        <v>140</v>
      </c>
      <c r="S9">
        <f>IF(J_V="SI",0,Datos!AI9)</f>
        <v>99</v>
      </c>
      <c r="T9">
        <f>IF(J_V="SI",0,Datos!AJ9)</f>
        <v>207</v>
      </c>
    </row>
    <row r="10" spans="2:20" ht="14.25">
      <c r="B10" s="275" t="s">
        <v>246</v>
      </c>
      <c r="C10" s="7" t="str">
        <f>Datos!A10</f>
        <v>Jdos. Violencia contra la mujer</v>
      </c>
      <c r="D10" s="352">
        <f>IF(ISNUMBER((Datos!I10-Datos!S10)/Datos!S10),(Datos!I10-Datos!S10)/Datos!S10," - ")</f>
        <v>0.22222222222222221</v>
      </c>
      <c r="E10" s="348">
        <f>IF(ISNUMBER((Datos!J10-Datos!T10)/Datos!T10),(Datos!J10-Datos!T10)/Datos!T10," - ")</f>
        <v>-8.1081081081081086E-2</v>
      </c>
      <c r="F10" s="348">
        <f>IF(ISNUMBER((Datos!K10-Datos!U10)/Datos!U10),(Datos!K10-Datos!U10)/Datos!U10," - ")</f>
        <v>-0.18518518518518517</v>
      </c>
      <c r="G10" s="349">
        <f>IF(ISNUMBER((Datos!L10-Datos!V10)/Datos!V10),(Datos!L10-Datos!V10)/Datos!V10," - ")</f>
        <v>0.22093023255813954</v>
      </c>
      <c r="H10" s="230">
        <f>IF(ISNUMBER((Datos!M10-Datos!W10)/Datos!W10),(Datos!M10-Datos!W10)/Datos!W10," - ")</f>
        <v>-0.16666666666666666</v>
      </c>
      <c r="I10" s="350">
        <f>IF(ISNUMBER((Tasas!C10-Datos!BE10)/Datos!BE10),(Tasas!C10-Datos!BE10)/Datos!BE10," - ")</f>
        <v>0.49841437632135305</v>
      </c>
      <c r="J10" s="349">
        <f>IF(ISNUMBER((Tasas!D10-Datos!BF10)/Datos!BF10),(Tasas!D10-Datos!BF10)/Datos!BF10," - ")</f>
        <v>2.2727272727272749E-2</v>
      </c>
      <c r="K10" s="351">
        <f>IF(ISNUMBER((Tasas!E10-Datos!BG10)/Datos!BG10),(Tasas!E10-Datos!BG10)/Datos!BG10," - ")</f>
        <v>0.43079031521242572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6.2256809338521402E-2</v>
      </c>
      <c r="I13" s="357">
        <f>IF(ISNUMBER((Tasas!C13-Datos!BE13)/Datos!BE13),(Tasas!C13-Datos!BE13)/Datos!BE13," - ")</f>
        <v>0.11733172705235768</v>
      </c>
      <c r="J13" s="355">
        <f>IF(ISNUMBER((Tasas!D13-Datos!BF13)/Datos!BF13),(Tasas!D13-Datos!BF13)/Datos!BF13," - ")</f>
        <v>-0.29824080818645726</v>
      </c>
      <c r="K13" s="358">
        <f>IF(ISNUMBER((Tasas!E13-Datos!BG13)/Datos!BG13),(Tasas!E13-Datos!BG13)/Datos!BG13," - ")</f>
        <v>8.7812113123680452E-2</v>
      </c>
      <c r="M13" t="e">
        <f>IF(Monitorios="SI",Datos!CE13,0)</f>
        <v>#REF!</v>
      </c>
      <c r="N13" t="e">
        <f>IF(Monitorios="SI",Datos!CF13,0)</f>
        <v>#REF!</v>
      </c>
      <c r="O13" t="e">
        <f>IF(Monitorios="SI",Datos!CG13,0)</f>
        <v>#REF!</v>
      </c>
      <c r="P13" t="e">
        <f>IF(Monitorios="SI",Datos!CH13,0)</f>
        <v>#REF!</v>
      </c>
      <c r="Q13">
        <f>IF(J_V="SI",0,Datos!AG13)</f>
        <v>166</v>
      </c>
      <c r="R13">
        <f>IF(J_V="SI",0,Datos!AH13)</f>
        <v>140</v>
      </c>
      <c r="S13">
        <f>IF(J_V="SI",0,Datos!AI13)</f>
        <v>99</v>
      </c>
      <c r="T13">
        <f>IF(J_V="SI",0,Datos!AJ13)</f>
        <v>207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0.13902681231380337</v>
      </c>
      <c r="E15" s="348">
        <f>IF(ISNUMBER(
   IF(D_I="SI",(Datos!J15-Datos!T15)/Datos!T15,(Datos!J15+Datos!AD15-(Datos!T15+Datos!AL15))/(Datos!T15+Datos!AL15))
     ),IF(D_I="SI",(Datos!J15-Datos!T15)/Datos!T15,(Datos!J15+Datos!AD15-(Datos!T15+Datos!AL15))/(Datos!T15+Datos!AL15))," - ")</f>
        <v>8.2899099952629091E-2</v>
      </c>
      <c r="F15" s="348">
        <f>IF(ISNUMBER(
   IF(D_I="SI",(Datos!K15-Datos!U15)/Datos!U15,(Datos!K15+Datos!AE15-(Datos!U15+Datos!AM15))/(Datos!U15+Datos!AM15))
     ),IF(D_I="SI",(Datos!K15-Datos!U15)/Datos!U15,(Datos!K15+Datos!AE15-(Datos!U15+Datos!AM15))/(Datos!U15+Datos!AM15))," - ")</f>
        <v>9.211691762621789E-2</v>
      </c>
      <c r="G15" s="349">
        <f>IF(ISNUMBER(
   IF(D_I="SI",(Datos!L15-Datos!V15)/Datos!V15,(Datos!L15+Datos!AF15-(Datos!V15+Datos!AN15))/(Datos!V15+Datos!AN15))
     ),IF(D_I="SI",(Datos!L15-Datos!V15)/Datos!V15,(Datos!L15+Datos!AF15-(Datos!V15+Datos!AN15))/(Datos!V15+Datos!AN15))," - ")</f>
        <v>0.1162303664921466</v>
      </c>
      <c r="H15" s="230">
        <f>IF(ISNUMBER((Datos!M15-Datos!W15)/Datos!W15),(Datos!M15-Datos!W15)/Datos!W15," - ")</f>
        <v>0.19282511210762332</v>
      </c>
      <c r="I15" s="350">
        <f>IF(ISNUMBER((Tasas!C15-Datos!BE15)/Datos!BE15),(Tasas!C15-Datos!BE15)/Datos!BE15," - ")</f>
        <v>2.2079548880481376E-2</v>
      </c>
      <c r="J15" s="349">
        <f>IF(ISNUMBER((Tasas!D15-Datos!BF15)/Datos!BF15),(Tasas!D15-Datos!BF15)/Datos!BF15," - ")</f>
        <v>9.2213748231554482E-2</v>
      </c>
      <c r="K15" s="351">
        <f>IF(ISNUMBER((Tasas!E15-Datos!BG15)/Datos!BG15),(Tasas!E15-Datos!BG15)/Datos!BG15," - ")</f>
        <v>1.6652166433188419E-2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-6.4935064935064939E-3</v>
      </c>
      <c r="E17" s="348">
        <f>IF(ISNUMBER(
   IF(D_I="SI",(Datos!J17-Datos!T17)/Datos!T17,(Datos!J17+Datos!AD17-(Datos!T17+Datos!AL17))/(Datos!T17+Datos!AL17))
     ),IF(D_I="SI",(Datos!J17-Datos!T17)/Datos!T17,(Datos!J17+Datos!AD17-(Datos!T17+Datos!AL17))/(Datos!T17+Datos!AL17))," - ")</f>
        <v>-8.8145896656534953E-2</v>
      </c>
      <c r="F17" s="348">
        <f>IF(ISNUMBER(
   IF(D_I="SI",(Datos!K17-Datos!U17)/Datos!U17,(Datos!K17+Datos!AE17-(Datos!U17+Datos!AM17))/(Datos!U17+Datos!AM17))
     ),IF(D_I="SI",(Datos!K17-Datos!U17)/Datos!U17,(Datos!K17+Datos!AE17-(Datos!U17+Datos!AM17))/(Datos!U17+Datos!AM17))," - ")</f>
        <v>-9.1428571428571428E-2</v>
      </c>
      <c r="G17" s="349">
        <f>IF(ISNUMBER(
   IF(D_I="SI",(Datos!L17-Datos!V17)/Datos!V17,(Datos!L17+Datos!AF17-(Datos!V17+Datos!AN17))/(Datos!V17+Datos!AN17))
     ),IF(D_I="SI",(Datos!L17-Datos!V17)/Datos!V17,(Datos!L17+Datos!AF17-(Datos!V17+Datos!AN17))/(Datos!V17+Datos!AN17))," - ")</f>
        <v>1.5037593984962405E-2</v>
      </c>
      <c r="H17" s="230">
        <f>IF(ISNUMBER((Datos!M17-Datos!W17)/Datos!W17),(Datos!M17-Datos!W17)/Datos!W17," - ")</f>
        <v>-4.6153846153846156E-2</v>
      </c>
      <c r="I17" s="350">
        <f>IF(ISNUMBER((Tasas!C17-Datos!BE17)/Datos!BE17),(Tasas!C17-Datos!BE17)/Datos!BE17," - ")</f>
        <v>0.11717974180734859</v>
      </c>
      <c r="J17" s="349">
        <f>IF(ISNUMBER((Tasas!D17-Datos!BF17)/Datos!BF17),(Tasas!D17-Datos!BF17)/Datos!BF17," - ")</f>
        <v>4.9830672472181939E-2</v>
      </c>
      <c r="K17" s="351">
        <f>IF(ISNUMBER((Tasas!E17-Datos!BG17)/Datos!BG17),(Tasas!E17-Datos!BG17)/Datos!BG17," - ")</f>
        <v>3.2266885425212014E-2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0.12869003690036901</v>
      </c>
      <c r="E18" s="354">
        <f>IF(ISNUMBER(
   IF(D_I="SI",(Datos!J18-Datos!T18)/Datos!T18,(Datos!J18+Datos!AD18-(Datos!T18+Datos!AL18))/(Datos!T18+Datos!AL18))
     ),IF(D_I="SI",(Datos!J18-Datos!T18)/Datos!T18,(Datos!J18+Datos!AD18-(Datos!T18+Datos!AL18))/(Datos!T18+Datos!AL18))," - ")</f>
        <v>5.983606557377049E-2</v>
      </c>
      <c r="F18" s="354">
        <f>IF(ISNUMBER(
   IF(D_I="SI",(Datos!K18-Datos!U18)/Datos!U18,(Datos!K18+Datos!AE18-(Datos!U18+Datos!AM18))/(Datos!U18+Datos!AM18))
     ),IF(D_I="SI",(Datos!K18-Datos!U18)/Datos!U18,(Datos!K18+Datos!AE18-(Datos!U18+Datos!AM18))/(Datos!U18+Datos!AM18))," - ")</f>
        <v>6.7484662576687116E-2</v>
      </c>
      <c r="G18" s="355">
        <f>IF(ISNUMBER(
   IF(D_I="SI",(Datos!L18-Datos!V18)/Datos!V18,(Datos!L18+Datos!AF18-(Datos!V18+Datos!AN18))/(Datos!V18+Datos!AN18))
     ),IF(D_I="SI",(Datos!L18-Datos!V18)/Datos!V18,(Datos!L18+Datos!AF18-(Datos!V18+Datos!AN18))/(Datos!V18+Datos!AN18))," - ")</f>
        <v>0.109642682329907</v>
      </c>
      <c r="H18" s="356">
        <f>IF(ISNUMBER((Datos!M18-Datos!W18)/Datos!W18),(Datos!M18-Datos!W18)/Datos!W18," - ")</f>
        <v>0.1388888888888889</v>
      </c>
      <c r="I18" s="357">
        <f>IF(ISNUMBER((Tasas!C18-Datos!BE18)/Datos!BE18),(Tasas!C18-Datos!BE18)/Datos!BE18," - ")</f>
        <v>3.9492857584912951E-2</v>
      </c>
      <c r="J18" s="355">
        <f>IF(ISNUMBER((Tasas!D18-Datos!BF18)/Datos!BF18),(Tasas!D18-Datos!BF18)/Datos!BF18," - ")</f>
        <v>6.6890166028097012E-2</v>
      </c>
      <c r="K18" s="358">
        <f>IF(ISNUMBER((Tasas!E18-Datos!BG18)/Datos!BG18),(Tasas!E18-Datos!BG18)/Datos!BG18," - ")</f>
        <v>2.3181822717113644E-2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0.38822409573021482</v>
      </c>
      <c r="E19" s="363">
        <f>IF(ISNUMBER(
   IF(J_V="SI",(Datos!J19-Datos!T19)/Datos!T19,(Datos!J19+Datos!Z19-(Datos!T19+Datos!AH19))/(Datos!T19+Datos!AH19))
     ),IF(J_V="SI",(Datos!J19-Datos!T19)/Datos!T19,(Datos!J19+Datos!Z19-(Datos!T19+Datos!AH19))/(Datos!T19+Datos!AH19))," - ")</f>
        <v>-7.7387367967234319E-2</v>
      </c>
      <c r="F19" s="363">
        <f>IF(ISNUMBER(
   IF(J_V="SI",(Datos!K19-Datos!U19)/Datos!U19,(Datos!K19+Datos!AA19-(Datos!U19+Datos!AI19))/(Datos!U19+Datos!AI19))
     ),IF(J_V="SI",(Datos!K19-Datos!U19)/Datos!U19,(Datos!K19+Datos!AA19-(Datos!U19+Datos!AI19))/(Datos!U19+Datos!AI19))," - ")</f>
        <v>0.11307657859381998</v>
      </c>
      <c r="G19" s="364">
        <f>IF(ISNUMBER(
   IF(J_V="SI",(Datos!L19-Datos!V19)/Datos!V19,(Datos!L19+Datos!AB19-(Datos!V19+Datos!AJ19))/(Datos!V19+Datos!AJ19))
     ),IF(J_V="SI",(Datos!L19-Datos!V19)/Datos!V19,(Datos!L19+Datos!AB19-(Datos!V19+Datos!AJ19))/(Datos!V19+Datos!AJ19))," - ")</f>
        <v>0.25970937912813741</v>
      </c>
      <c r="H19" s="365">
        <f>IF(ISNUMBER((Datos!M19-Datos!W19)/Datos!W19),(Datos!M19-Datos!W19)/Datos!W19," - ")</f>
        <v>8.9775561097256859E-2</v>
      </c>
      <c r="I19" s="362">
        <f>IF(ISNUMBER((Tasas!C19-Datos!BE19)/Datos!BE19),(Tasas!C19-Datos!BE19)/Datos!BE19," - ")</f>
        <v>0.13173648907388089</v>
      </c>
      <c r="J19" s="363">
        <f>IF(ISNUMBER((Tasas!D19-Datos!BF19)/Datos!BF19),(Tasas!D19-Datos!BF19)/Datos!BF19," - ")</f>
        <v>-0.17259112335211252</v>
      </c>
      <c r="K19" s="364">
        <f>IF(ISNUMBER((Tasas!E19-Datos!BG19)/Datos!BG19),(Tasas!E19-Datos!BG19)/Datos!BG19," - ")</f>
        <v>8.5389296106360466E-2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9.4665302073115673E-2</v>
      </c>
      <c r="E21" s="278">
        <f t="shared" si="1"/>
        <v>9.0592498391436627E-2</v>
      </c>
      <c r="F21" s="278">
        <f t="shared" si="1"/>
        <v>0.13199681855318127</v>
      </c>
      <c r="G21" s="279">
        <f t="shared" si="1"/>
        <v>8.41488051706272E-2</v>
      </c>
      <c r="H21" s="285">
        <f t="shared" si="1"/>
        <v>0.13001480733292864</v>
      </c>
      <c r="I21" s="277">
        <f t="shared" si="1"/>
        <v>0.17511928626124704</v>
      </c>
      <c r="J21" s="278">
        <f t="shared" si="1"/>
        <v>0.18614995843006935</v>
      </c>
      <c r="K21" s="279">
        <f t="shared" si="1"/>
        <v>0.15889898131337651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gr9ebXBs28tPy6b8w/5wVfVasJ9j6X0N7EFlKQ6cyFhTdWUqPfCn3BIWk20saVm9ASm1eQYWmjATIIdNyxUQQ==" saltValue="qBBYB6U9Rk2qBRLLiiAM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